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8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drawings/drawing9.xml" ContentType="application/vnd.openxmlformats-officedocument.drawing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vaes-my.sharepoint.com/personal/elenamaria_rojo_uva_es/Documents/Doctorado/TEA y LCA/LCA GREENFARM/Greenfarm/"/>
    </mc:Choice>
  </mc:AlternateContent>
  <xr:revisionPtr revIDLastSave="127" documentId="11_A8D1AE4FA453ADF2FD9BA942A545B8A595D338F1" xr6:coauthVersionLast="47" xr6:coauthVersionMax="47" xr10:uidLastSave="{89DD04A2-FA2C-4465-9FE4-C5D783A201D5}"/>
  <bookViews>
    <workbookView xWindow="0" yWindow="0" windowWidth="14400" windowHeight="15600" tabRatio="719" firstSheet="5" activeTab="6" xr2:uid="{00000000-000D-0000-FFFF-FFFF00000000}"/>
  </bookViews>
  <sheets>
    <sheet name="Scenario 2" sheetId="17" r:id="rId1"/>
    <sheet name="Calculations" sheetId="4" r:id="rId2"/>
    <sheet name="LCA inventary (SimaPro)" sheetId="5" r:id="rId3"/>
    <sheet name="Results SimaPro (GF)" sheetId="24" r:id="rId4"/>
    <sheet name="Results Flue gas - MEA (GF)" sheetId="25" r:id="rId5"/>
    <sheet name="Results Biogas - MEA (GF)" sheetId="28" r:id="rId6"/>
    <sheet name="Results Flue gas - membran (GF)" sheetId="29" r:id="rId7"/>
    <sheet name="Results Biogas - membrane (GF)" sheetId="30" r:id="rId8"/>
    <sheet name="Comparation CO2 source (MEA)" sheetId="26" r:id="rId9"/>
    <sheet name="Comparation CO2 source (membra)" sheetId="31" r:id="rId10"/>
  </sheets>
  <externalReferences>
    <externalReference r:id="rId11"/>
  </externalReferences>
  <definedNames>
    <definedName name="P">#REF!</definedName>
    <definedName name="PF" localSheetId="8">#REF!</definedName>
    <definedName name="PF" localSheetId="9">#REF!</definedName>
    <definedName name="PF" localSheetId="5">#REF!</definedName>
    <definedName name="PF" localSheetId="7">#REF!</definedName>
    <definedName name="PF" localSheetId="4">#REF!</definedName>
    <definedName name="PF" localSheetId="6">#REF!</definedName>
    <definedName name="PF" localSheetId="3">#REF!</definedName>
    <definedName name="PF">#REF!</definedName>
    <definedName name="solver_adj" localSheetId="0" hidden="1">'Scenario 2'!$O$63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'Scenario 2'!$C$180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1</definedName>
    <definedName name="solver_nwt" localSheetId="0" hidden="1">1</definedName>
    <definedName name="solver_opt" localSheetId="0" hidden="1">'Scenario 2'!$N$163</definedName>
    <definedName name="solver_pre" localSheetId="0" hidden="1">0.000001</definedName>
    <definedName name="solver_rbv" localSheetId="0" hidden="1">1</definedName>
    <definedName name="solver_rel1" localSheetId="0" hidden="1">3</definedName>
    <definedName name="solver_rhs1" localSheetId="0" hidden="1">0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14.4</definedName>
    <definedName name="solver_ver" localSheetId="0" hidden="1">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7" i="29" l="1"/>
  <c r="O137" i="24"/>
  <c r="D138" i="30"/>
  <c r="O138" i="30" s="1"/>
  <c r="D137" i="30"/>
  <c r="N137" i="30" s="1"/>
  <c r="D136" i="30"/>
  <c r="S136" i="30" s="1"/>
  <c r="D135" i="30"/>
  <c r="P135" i="30" s="1"/>
  <c r="D106" i="30"/>
  <c r="Q106" i="30" s="1"/>
  <c r="D105" i="30"/>
  <c r="N105" i="30" s="1"/>
  <c r="D104" i="30"/>
  <c r="O104" i="30" s="1"/>
  <c r="D103" i="30"/>
  <c r="E52" i="31" s="1"/>
  <c r="D95" i="30"/>
  <c r="O95" i="30" s="1"/>
  <c r="D94" i="30"/>
  <c r="N94" i="30" s="1"/>
  <c r="D93" i="30"/>
  <c r="S93" i="30" s="1"/>
  <c r="D92" i="30"/>
  <c r="P92" i="30" s="1"/>
  <c r="D91" i="30"/>
  <c r="O91" i="30" s="1"/>
  <c r="D90" i="30"/>
  <c r="N90" i="30" s="1"/>
  <c r="D89" i="30"/>
  <c r="S89" i="30" s="1"/>
  <c r="D88" i="30"/>
  <c r="AQ57" i="30" s="1"/>
  <c r="D87" i="30"/>
  <c r="O87" i="30" s="1"/>
  <c r="D86" i="30"/>
  <c r="N86" i="30" s="1"/>
  <c r="D85" i="30"/>
  <c r="S85" i="30" s="1"/>
  <c r="D84" i="30"/>
  <c r="P84" i="30" s="1"/>
  <c r="D83" i="30"/>
  <c r="O83" i="30" s="1"/>
  <c r="D82" i="30"/>
  <c r="N82" i="30" s="1"/>
  <c r="D81" i="30"/>
  <c r="S81" i="30" s="1"/>
  <c r="AM78" i="30"/>
  <c r="AE78" i="30"/>
  <c r="AM75" i="30"/>
  <c r="AE75" i="30"/>
  <c r="AM72" i="30"/>
  <c r="AE72" i="30"/>
  <c r="AM69" i="30"/>
  <c r="AE69" i="30"/>
  <c r="E68" i="30"/>
  <c r="AM66" i="30"/>
  <c r="AE66" i="30"/>
  <c r="E64" i="30"/>
  <c r="AM63" i="30"/>
  <c r="AE63" i="30"/>
  <c r="AM60" i="30"/>
  <c r="AE60" i="30"/>
  <c r="AM57" i="30"/>
  <c r="AE57" i="30"/>
  <c r="AM54" i="30"/>
  <c r="AE54" i="30"/>
  <c r="AM51" i="30"/>
  <c r="AE51" i="30"/>
  <c r="AM48" i="30"/>
  <c r="AE48" i="30"/>
  <c r="AM45" i="30"/>
  <c r="AE45" i="30"/>
  <c r="AM42" i="30"/>
  <c r="AE42" i="30"/>
  <c r="AM39" i="30"/>
  <c r="AE39" i="30"/>
  <c r="AQ36" i="30"/>
  <c r="AM36" i="30"/>
  <c r="AE36" i="30"/>
  <c r="D19" i="30"/>
  <c r="AF78" i="30" s="1"/>
  <c r="D18" i="30"/>
  <c r="P18" i="30" s="1"/>
  <c r="D17" i="30"/>
  <c r="AF72" i="30" s="1"/>
  <c r="D16" i="30"/>
  <c r="AF69" i="30" s="1"/>
  <c r="D15" i="30"/>
  <c r="AF66" i="30" s="1"/>
  <c r="D14" i="30"/>
  <c r="Q14" i="30" s="1"/>
  <c r="D13" i="30"/>
  <c r="AF60" i="30" s="1"/>
  <c r="D12" i="30"/>
  <c r="O12" i="30" s="1"/>
  <c r="D11" i="30"/>
  <c r="AF54" i="30" s="1"/>
  <c r="D10" i="30"/>
  <c r="O10" i="30" s="1"/>
  <c r="D9" i="30"/>
  <c r="AF48" i="30" s="1"/>
  <c r="AQ8" i="30"/>
  <c r="AQ9" i="30" s="1"/>
  <c r="D8" i="30"/>
  <c r="AF45" i="30" s="1"/>
  <c r="D7" i="30"/>
  <c r="AF42" i="30" s="1"/>
  <c r="D6" i="30"/>
  <c r="O6" i="30" s="1"/>
  <c r="D5" i="30"/>
  <c r="AF36" i="30" s="1"/>
  <c r="D138" i="29"/>
  <c r="R138" i="29" s="1"/>
  <c r="D137" i="29"/>
  <c r="Q137" i="29" s="1"/>
  <c r="D136" i="29"/>
  <c r="P136" i="29" s="1"/>
  <c r="D135" i="29"/>
  <c r="O135" i="29" s="1"/>
  <c r="D106" i="29"/>
  <c r="D105" i="29"/>
  <c r="D104" i="29"/>
  <c r="D103" i="29"/>
  <c r="D95" i="29"/>
  <c r="R95" i="29" s="1"/>
  <c r="D94" i="29"/>
  <c r="Q94" i="29" s="1"/>
  <c r="D93" i="29"/>
  <c r="P93" i="29" s="1"/>
  <c r="D92" i="29"/>
  <c r="O92" i="29" s="1"/>
  <c r="D91" i="29"/>
  <c r="D90" i="29"/>
  <c r="S90" i="29" s="1"/>
  <c r="D89" i="29"/>
  <c r="N89" i="29" s="1"/>
  <c r="D88" i="29"/>
  <c r="R88" i="29" s="1"/>
  <c r="D87" i="29"/>
  <c r="R87" i="29" s="1"/>
  <c r="D86" i="29"/>
  <c r="O86" i="29" s="1"/>
  <c r="D85" i="29"/>
  <c r="N85" i="29" s="1"/>
  <c r="D84" i="29"/>
  <c r="S84" i="29" s="1"/>
  <c r="D83" i="29"/>
  <c r="E64" i="29" s="1"/>
  <c r="H64" i="29" s="1"/>
  <c r="D82" i="29"/>
  <c r="S82" i="29" s="1"/>
  <c r="D81" i="29"/>
  <c r="E62" i="29" s="1"/>
  <c r="AQ78" i="29"/>
  <c r="AQ79" i="29" s="1"/>
  <c r="AM78" i="29"/>
  <c r="AE78" i="29"/>
  <c r="E76" i="29"/>
  <c r="D76" i="29" s="1"/>
  <c r="AP78" i="29" s="1"/>
  <c r="AM75" i="29"/>
  <c r="AE75" i="29"/>
  <c r="AM72" i="29"/>
  <c r="AE72" i="29"/>
  <c r="AM69" i="29"/>
  <c r="AE69" i="29"/>
  <c r="AM66" i="29"/>
  <c r="AE66" i="29"/>
  <c r="AM63" i="29"/>
  <c r="AE63" i="29"/>
  <c r="AM60" i="29"/>
  <c r="AE60" i="29"/>
  <c r="AM57" i="29"/>
  <c r="AE57" i="29"/>
  <c r="AM54" i="29"/>
  <c r="AE54" i="29"/>
  <c r="AQ51" i="29"/>
  <c r="AQ52" i="29" s="1"/>
  <c r="AM51" i="29"/>
  <c r="AE51" i="29"/>
  <c r="AM48" i="29"/>
  <c r="AE48" i="29"/>
  <c r="AM45" i="29"/>
  <c r="AE45" i="29"/>
  <c r="AM42" i="29"/>
  <c r="AE42" i="29"/>
  <c r="AM39" i="29"/>
  <c r="AE39" i="29"/>
  <c r="AM36" i="29"/>
  <c r="AE36" i="29"/>
  <c r="D19" i="29"/>
  <c r="D18" i="29"/>
  <c r="D17" i="29"/>
  <c r="D16" i="29"/>
  <c r="D15" i="29"/>
  <c r="D14" i="29"/>
  <c r="D13" i="29"/>
  <c r="D12" i="29"/>
  <c r="AQ11" i="29"/>
  <c r="AQ12" i="29" s="1"/>
  <c r="D11" i="29"/>
  <c r="D10" i="29"/>
  <c r="D9" i="29"/>
  <c r="O9" i="29" s="1"/>
  <c r="D8" i="29"/>
  <c r="D7" i="29"/>
  <c r="D6" i="29"/>
  <c r="D5" i="29"/>
  <c r="AF14" i="30" l="1"/>
  <c r="E76" i="30"/>
  <c r="H76" i="30" s="1"/>
  <c r="M76" i="30" s="1"/>
  <c r="AQ39" i="29"/>
  <c r="AQ40" i="29" s="1"/>
  <c r="AF8" i="30"/>
  <c r="AF5" i="30"/>
  <c r="AQ14" i="29"/>
  <c r="AQ15" i="29" s="1"/>
  <c r="E128" i="29"/>
  <c r="AF57" i="29"/>
  <c r="D41" i="31"/>
  <c r="AF63" i="29"/>
  <c r="D43" i="31"/>
  <c r="R85" i="29"/>
  <c r="N6" i="30"/>
  <c r="AF51" i="30"/>
  <c r="AF39" i="29"/>
  <c r="D35" i="31"/>
  <c r="AF75" i="29"/>
  <c r="D47" i="31"/>
  <c r="E66" i="29"/>
  <c r="H66" i="29" s="1"/>
  <c r="AF8" i="29"/>
  <c r="D52" i="31"/>
  <c r="E75" i="30"/>
  <c r="H75" i="30" s="1"/>
  <c r="M75" i="30" s="1"/>
  <c r="R94" i="30"/>
  <c r="E46" i="31"/>
  <c r="E38" i="31"/>
  <c r="E45" i="31"/>
  <c r="E37" i="31"/>
  <c r="E44" i="31"/>
  <c r="E36" i="31"/>
  <c r="AQ75" i="30"/>
  <c r="E43" i="31"/>
  <c r="E35" i="31"/>
  <c r="E42" i="31"/>
  <c r="E34" i="31"/>
  <c r="E41" i="31"/>
  <c r="E55" i="31"/>
  <c r="AF78" i="29"/>
  <c r="D48" i="31"/>
  <c r="AF60" i="29"/>
  <c r="D42" i="31"/>
  <c r="AF48" i="29"/>
  <c r="D38" i="31"/>
  <c r="P9" i="29"/>
  <c r="P6" i="30"/>
  <c r="O93" i="30"/>
  <c r="AF51" i="29"/>
  <c r="D39" i="31"/>
  <c r="AF69" i="29"/>
  <c r="D45" i="31"/>
  <c r="N17" i="30"/>
  <c r="S87" i="30"/>
  <c r="Q93" i="30"/>
  <c r="E48" i="31"/>
  <c r="E40" i="31"/>
  <c r="E54" i="31"/>
  <c r="AF42" i="29"/>
  <c r="D36" i="31"/>
  <c r="P104" i="29"/>
  <c r="D53" i="31"/>
  <c r="AF45" i="29"/>
  <c r="D37" i="31"/>
  <c r="Q105" i="29"/>
  <c r="D54" i="31"/>
  <c r="P85" i="29"/>
  <c r="AF14" i="29"/>
  <c r="D55" i="31"/>
  <c r="Q10" i="30"/>
  <c r="Q16" i="30"/>
  <c r="AF66" i="29"/>
  <c r="D44" i="31"/>
  <c r="E71" i="29"/>
  <c r="H71" i="29" s="1"/>
  <c r="L71" i="29" s="1"/>
  <c r="S85" i="29"/>
  <c r="Q5" i="29"/>
  <c r="D34" i="31"/>
  <c r="Q11" i="29"/>
  <c r="D40" i="31"/>
  <c r="AF72" i="29"/>
  <c r="D46" i="31"/>
  <c r="AQ72" i="30"/>
  <c r="AQ73" i="30" s="1"/>
  <c r="E47" i="31"/>
  <c r="E39" i="31"/>
  <c r="E53" i="31"/>
  <c r="AF5" i="29"/>
  <c r="N19" i="29"/>
  <c r="Q14" i="29"/>
  <c r="S95" i="29"/>
  <c r="E74" i="29"/>
  <c r="D74" i="29" s="1"/>
  <c r="AP72" i="29" s="1"/>
  <c r="E73" i="29"/>
  <c r="H73" i="29" s="1"/>
  <c r="P92" i="29"/>
  <c r="AQ69" i="29"/>
  <c r="S89" i="29"/>
  <c r="S87" i="29"/>
  <c r="Q87" i="29"/>
  <c r="AQ54" i="29"/>
  <c r="E68" i="29"/>
  <c r="H68" i="29" s="1"/>
  <c r="E67" i="29"/>
  <c r="H67" i="29" s="1"/>
  <c r="K67" i="29" s="1"/>
  <c r="P86" i="29"/>
  <c r="R86" i="29"/>
  <c r="S86" i="29"/>
  <c r="Q85" i="29"/>
  <c r="AQ48" i="29"/>
  <c r="O85" i="29"/>
  <c r="E65" i="29"/>
  <c r="D65" i="29" s="1"/>
  <c r="AP45" i="29" s="1"/>
  <c r="N82" i="29"/>
  <c r="E63" i="29"/>
  <c r="E130" i="29"/>
  <c r="H130" i="29" s="1"/>
  <c r="M130" i="29" s="1"/>
  <c r="R137" i="29"/>
  <c r="E129" i="29"/>
  <c r="D129" i="29" s="1"/>
  <c r="E121" i="29" s="1"/>
  <c r="D121" i="29" s="1"/>
  <c r="D128" i="29"/>
  <c r="H128" i="29"/>
  <c r="Q135" i="29"/>
  <c r="AQ8" i="29"/>
  <c r="N135" i="29"/>
  <c r="S135" i="29"/>
  <c r="E127" i="29"/>
  <c r="H127" i="29" s="1"/>
  <c r="N106" i="30"/>
  <c r="O19" i="30"/>
  <c r="P17" i="30"/>
  <c r="O15" i="30"/>
  <c r="P14" i="30"/>
  <c r="P10" i="30"/>
  <c r="N9" i="30"/>
  <c r="O9" i="30"/>
  <c r="Q9" i="30"/>
  <c r="N5" i="30"/>
  <c r="Q5" i="30"/>
  <c r="E74" i="30"/>
  <c r="H74" i="30" s="1"/>
  <c r="M74" i="30" s="1"/>
  <c r="R93" i="30"/>
  <c r="AQ63" i="30"/>
  <c r="O90" i="30"/>
  <c r="E71" i="30"/>
  <c r="D71" i="30" s="1"/>
  <c r="Q87" i="30"/>
  <c r="AQ54" i="30"/>
  <c r="AQ55" i="30" s="1"/>
  <c r="AQ51" i="30"/>
  <c r="AQ52" i="30" s="1"/>
  <c r="P86" i="30"/>
  <c r="AQ42" i="30"/>
  <c r="E63" i="30"/>
  <c r="D63" i="30" s="1"/>
  <c r="E44" i="30" s="1"/>
  <c r="D44" i="30" s="1"/>
  <c r="K44" i="30" s="1"/>
  <c r="R81" i="30"/>
  <c r="S138" i="30"/>
  <c r="AQ14" i="30"/>
  <c r="AQ15" i="30" s="1"/>
  <c r="Q138" i="30"/>
  <c r="E129" i="30"/>
  <c r="D129" i="30" s="1"/>
  <c r="E121" i="30" s="1"/>
  <c r="P137" i="30"/>
  <c r="Q137" i="30"/>
  <c r="O136" i="30"/>
  <c r="P136" i="30"/>
  <c r="E128" i="30"/>
  <c r="H128" i="30" s="1"/>
  <c r="M128" i="30" s="1"/>
  <c r="R136" i="30"/>
  <c r="AQ11" i="30"/>
  <c r="N136" i="30"/>
  <c r="Q135" i="30"/>
  <c r="AQ12" i="30"/>
  <c r="R137" i="30"/>
  <c r="E130" i="30"/>
  <c r="Q136" i="30"/>
  <c r="S137" i="30"/>
  <c r="AQ5" i="30"/>
  <c r="P138" i="30"/>
  <c r="O137" i="30"/>
  <c r="R138" i="30"/>
  <c r="N104" i="30"/>
  <c r="O105" i="30"/>
  <c r="P105" i="30"/>
  <c r="Q105" i="30"/>
  <c r="P104" i="30"/>
  <c r="AF11" i="30"/>
  <c r="AQ43" i="30"/>
  <c r="E65" i="30"/>
  <c r="E67" i="30"/>
  <c r="H71" i="30"/>
  <c r="D74" i="30"/>
  <c r="D76" i="30"/>
  <c r="N81" i="30"/>
  <c r="Q84" i="30"/>
  <c r="O86" i="30"/>
  <c r="R87" i="30"/>
  <c r="S90" i="30"/>
  <c r="P93" i="30"/>
  <c r="S94" i="30"/>
  <c r="P91" i="30"/>
  <c r="AQ39" i="30"/>
  <c r="E66" i="30"/>
  <c r="H66" i="30" s="1"/>
  <c r="O82" i="30"/>
  <c r="O85" i="30"/>
  <c r="R86" i="30"/>
  <c r="Q95" i="30"/>
  <c r="N85" i="30"/>
  <c r="P95" i="30"/>
  <c r="AQ60" i="30"/>
  <c r="AQ61" i="30" s="1"/>
  <c r="S82" i="30"/>
  <c r="P85" i="30"/>
  <c r="S86" i="30"/>
  <c r="N89" i="30"/>
  <c r="Q92" i="30"/>
  <c r="O94" i="30"/>
  <c r="R95" i="30"/>
  <c r="Q86" i="30"/>
  <c r="AQ45" i="30"/>
  <c r="AQ48" i="30"/>
  <c r="E62" i="30"/>
  <c r="D62" i="30" s="1"/>
  <c r="AP36" i="30" s="1"/>
  <c r="Q85" i="30"/>
  <c r="R89" i="30"/>
  <c r="P94" i="30"/>
  <c r="S95" i="30"/>
  <c r="AQ66" i="30"/>
  <c r="E70" i="30"/>
  <c r="H70" i="30" s="1"/>
  <c r="E73" i="30"/>
  <c r="AQ78" i="30"/>
  <c r="P83" i="30"/>
  <c r="R85" i="30"/>
  <c r="P87" i="30"/>
  <c r="N93" i="30"/>
  <c r="Q94" i="30"/>
  <c r="P5" i="30"/>
  <c r="N14" i="30"/>
  <c r="N15" i="30"/>
  <c r="N19" i="30"/>
  <c r="P7" i="30"/>
  <c r="P9" i="30"/>
  <c r="P11" i="30"/>
  <c r="P12" i="30"/>
  <c r="Q15" i="30"/>
  <c r="Q17" i="30"/>
  <c r="Q19" i="30"/>
  <c r="N11" i="30"/>
  <c r="P19" i="30"/>
  <c r="Q11" i="30"/>
  <c r="P8" i="30"/>
  <c r="N16" i="30"/>
  <c r="O18" i="30"/>
  <c r="N12" i="30"/>
  <c r="P15" i="30"/>
  <c r="N10" i="30"/>
  <c r="P13" i="30"/>
  <c r="P16" i="30"/>
  <c r="Q18" i="30"/>
  <c r="P135" i="29"/>
  <c r="P137" i="29"/>
  <c r="S137" i="29"/>
  <c r="O136" i="29"/>
  <c r="Q138" i="29"/>
  <c r="AQ5" i="29"/>
  <c r="Q136" i="29"/>
  <c r="S138" i="29"/>
  <c r="R136" i="29"/>
  <c r="O104" i="29"/>
  <c r="AF11" i="29"/>
  <c r="P105" i="29"/>
  <c r="O12" i="29"/>
  <c r="P18" i="29"/>
  <c r="Q8" i="29"/>
  <c r="P12" i="29"/>
  <c r="O6" i="29"/>
  <c r="O15" i="29"/>
  <c r="O19" i="29"/>
  <c r="Q7" i="29"/>
  <c r="P6" i="29"/>
  <c r="Q13" i="29"/>
  <c r="P15" i="29"/>
  <c r="P19" i="29"/>
  <c r="Q12" i="29"/>
  <c r="Q6" i="29"/>
  <c r="M73" i="29"/>
  <c r="L73" i="29"/>
  <c r="R84" i="29"/>
  <c r="R93" i="29"/>
  <c r="E57" i="29"/>
  <c r="D67" i="29"/>
  <c r="E70" i="29"/>
  <c r="D70" i="29" s="1"/>
  <c r="AQ72" i="29"/>
  <c r="AQ75" i="29"/>
  <c r="O82" i="29"/>
  <c r="Q86" i="29"/>
  <c r="N92" i="29"/>
  <c r="S93" i="29"/>
  <c r="Q92" i="29"/>
  <c r="P94" i="29"/>
  <c r="AQ36" i="29"/>
  <c r="E75" i="29"/>
  <c r="H75" i="29" s="1"/>
  <c r="L75" i="29" s="1"/>
  <c r="H76" i="29"/>
  <c r="N84" i="29"/>
  <c r="N90" i="29"/>
  <c r="R92" i="29"/>
  <c r="R94" i="29"/>
  <c r="O90" i="29"/>
  <c r="S94" i="29"/>
  <c r="AQ45" i="29"/>
  <c r="S81" i="29"/>
  <c r="P84" i="29"/>
  <c r="P90" i="29"/>
  <c r="O93" i="29"/>
  <c r="O84" i="29"/>
  <c r="AQ63" i="29"/>
  <c r="Q84" i="29"/>
  <c r="Q93" i="29"/>
  <c r="Q95" i="29"/>
  <c r="AO39" i="30"/>
  <c r="AQ58" i="30"/>
  <c r="O5" i="30"/>
  <c r="Q6" i="30"/>
  <c r="O11" i="30"/>
  <c r="Q12" i="30"/>
  <c r="O16" i="30"/>
  <c r="O17" i="30"/>
  <c r="AQ37" i="30"/>
  <c r="D64" i="30"/>
  <c r="Q103" i="30"/>
  <c r="P103" i="30"/>
  <c r="O103" i="30"/>
  <c r="N103" i="30"/>
  <c r="AF63" i="30"/>
  <c r="H64" i="30"/>
  <c r="K64" i="30" s="1"/>
  <c r="AF75" i="30"/>
  <c r="N7" i="30"/>
  <c r="N8" i="30"/>
  <c r="N13" i="30"/>
  <c r="AF39" i="30"/>
  <c r="H68" i="30"/>
  <c r="K68" i="30" s="1"/>
  <c r="D68" i="30"/>
  <c r="O7" i="30"/>
  <c r="O8" i="30"/>
  <c r="O13" i="30"/>
  <c r="O14" i="30"/>
  <c r="N18" i="30"/>
  <c r="AF57" i="30"/>
  <c r="S88" i="30"/>
  <c r="R88" i="30"/>
  <c r="Q88" i="30"/>
  <c r="E69" i="30"/>
  <c r="P88" i="30"/>
  <c r="O88" i="30"/>
  <c r="N88" i="30"/>
  <c r="Q7" i="30"/>
  <c r="Q8" i="30"/>
  <c r="Q13" i="30"/>
  <c r="H62" i="30"/>
  <c r="D121" i="30"/>
  <c r="O81" i="30"/>
  <c r="P82" i="30"/>
  <c r="Q83" i="30"/>
  <c r="R84" i="30"/>
  <c r="O89" i="30"/>
  <c r="P90" i="30"/>
  <c r="Q91" i="30"/>
  <c r="R92" i="30"/>
  <c r="Q104" i="30"/>
  <c r="O106" i="30"/>
  <c r="R135" i="30"/>
  <c r="P81" i="30"/>
  <c r="Q82" i="30"/>
  <c r="R83" i="30"/>
  <c r="S84" i="30"/>
  <c r="N87" i="30"/>
  <c r="P89" i="30"/>
  <c r="Q90" i="30"/>
  <c r="R91" i="30"/>
  <c r="S92" i="30"/>
  <c r="N95" i="30"/>
  <c r="P106" i="30"/>
  <c r="H129" i="30"/>
  <c r="S135" i="30"/>
  <c r="N138" i="30"/>
  <c r="AQ67" i="30"/>
  <c r="AQ69" i="30"/>
  <c r="E72" i="30"/>
  <c r="D73" i="30"/>
  <c r="Q81" i="30"/>
  <c r="R82" i="30"/>
  <c r="S83" i="30"/>
  <c r="Q89" i="30"/>
  <c r="R90" i="30"/>
  <c r="S91" i="30"/>
  <c r="D70" i="30"/>
  <c r="H73" i="30"/>
  <c r="K73" i="30" s="1"/>
  <c r="K76" i="30"/>
  <c r="N84" i="30"/>
  <c r="N92" i="30"/>
  <c r="E127" i="30"/>
  <c r="N135" i="30"/>
  <c r="L76" i="30"/>
  <c r="N83" i="30"/>
  <c r="O84" i="30"/>
  <c r="N91" i="30"/>
  <c r="O92" i="30"/>
  <c r="O135" i="30"/>
  <c r="O7" i="29"/>
  <c r="O8" i="29"/>
  <c r="Q9" i="29"/>
  <c r="O13" i="29"/>
  <c r="O14" i="29"/>
  <c r="Q15" i="29"/>
  <c r="N18" i="29"/>
  <c r="Q19" i="29"/>
  <c r="N104" i="29"/>
  <c r="Q104" i="29"/>
  <c r="AP5" i="29"/>
  <c r="N6" i="29"/>
  <c r="P7" i="29"/>
  <c r="P8" i="29"/>
  <c r="N12" i="29"/>
  <c r="P13" i="29"/>
  <c r="P14" i="29"/>
  <c r="O18" i="29"/>
  <c r="N5" i="29"/>
  <c r="N10" i="29"/>
  <c r="N11" i="29"/>
  <c r="N16" i="29"/>
  <c r="N17" i="29"/>
  <c r="Q18" i="29"/>
  <c r="N83" i="29"/>
  <c r="S83" i="29"/>
  <c r="R83" i="29"/>
  <c r="AQ42" i="29"/>
  <c r="Q83" i="29"/>
  <c r="N91" i="29"/>
  <c r="AQ66" i="29"/>
  <c r="S91" i="29"/>
  <c r="E72" i="29"/>
  <c r="R91" i="29"/>
  <c r="Q91" i="29"/>
  <c r="AF36" i="29"/>
  <c r="O5" i="29"/>
  <c r="O10" i="29"/>
  <c r="O11" i="29"/>
  <c r="O16" i="29"/>
  <c r="O17" i="29"/>
  <c r="AF54" i="29"/>
  <c r="K73" i="29"/>
  <c r="O83" i="29"/>
  <c r="R89" i="29"/>
  <c r="AQ60" i="29"/>
  <c r="Q89" i="29"/>
  <c r="P89" i="29"/>
  <c r="O89" i="29"/>
  <c r="O91" i="29"/>
  <c r="S88" i="29"/>
  <c r="Q88" i="29"/>
  <c r="E69" i="29"/>
  <c r="P88" i="29"/>
  <c r="O88" i="29"/>
  <c r="N88" i="29"/>
  <c r="P5" i="29"/>
  <c r="N9" i="29"/>
  <c r="P10" i="29"/>
  <c r="P11" i="29"/>
  <c r="N15" i="29"/>
  <c r="P16" i="29"/>
  <c r="P17" i="29"/>
  <c r="D64" i="29"/>
  <c r="K64" i="29"/>
  <c r="K71" i="29"/>
  <c r="AP79" i="29"/>
  <c r="R81" i="29"/>
  <c r="Q81" i="29"/>
  <c r="P81" i="29"/>
  <c r="O81" i="29"/>
  <c r="P83" i="29"/>
  <c r="P91" i="29"/>
  <c r="Q106" i="29"/>
  <c r="P106" i="29"/>
  <c r="O106" i="29"/>
  <c r="M67" i="29"/>
  <c r="L67" i="29"/>
  <c r="Q10" i="29"/>
  <c r="Q16" i="29"/>
  <c r="Q17" i="29"/>
  <c r="AQ57" i="29"/>
  <c r="D62" i="29"/>
  <c r="M64" i="29"/>
  <c r="L64" i="29"/>
  <c r="N81" i="29"/>
  <c r="N106" i="29"/>
  <c r="D130" i="29"/>
  <c r="K130" i="29"/>
  <c r="N7" i="29"/>
  <c r="N8" i="29"/>
  <c r="N13" i="29"/>
  <c r="N14" i="29"/>
  <c r="H62" i="29"/>
  <c r="K62" i="29" s="1"/>
  <c r="Q103" i="29"/>
  <c r="P103" i="29"/>
  <c r="O103" i="29"/>
  <c r="N103" i="29"/>
  <c r="L130" i="29"/>
  <c r="P82" i="29"/>
  <c r="R135" i="29"/>
  <c r="S136" i="29"/>
  <c r="Q82" i="29"/>
  <c r="N87" i="29"/>
  <c r="Q90" i="29"/>
  <c r="S92" i="29"/>
  <c r="N95" i="29"/>
  <c r="N138" i="29"/>
  <c r="D73" i="29"/>
  <c r="R82" i="29"/>
  <c r="N86" i="29"/>
  <c r="O87" i="29"/>
  <c r="R90" i="29"/>
  <c r="N94" i="29"/>
  <c r="O95" i="29"/>
  <c r="N105" i="29"/>
  <c r="N137" i="29"/>
  <c r="O138" i="29"/>
  <c r="P87" i="29"/>
  <c r="N93" i="29"/>
  <c r="O94" i="29"/>
  <c r="P95" i="29"/>
  <c r="O105" i="29"/>
  <c r="N136" i="29"/>
  <c r="O137" i="29"/>
  <c r="P138" i="29"/>
  <c r="D138" i="28"/>
  <c r="O138" i="28" s="1"/>
  <c r="D137" i="28"/>
  <c r="N137" i="28" s="1"/>
  <c r="D136" i="28"/>
  <c r="N136" i="28" s="1"/>
  <c r="D135" i="28"/>
  <c r="AQ8" i="28" s="1"/>
  <c r="D106" i="28"/>
  <c r="E55" i="26" s="1"/>
  <c r="D105" i="28"/>
  <c r="N105" i="28" s="1"/>
  <c r="D104" i="28"/>
  <c r="E53" i="26" s="1"/>
  <c r="D103" i="28"/>
  <c r="AF8" i="28" s="1"/>
  <c r="D95" i="28"/>
  <c r="O95" i="28" s="1"/>
  <c r="D94" i="28"/>
  <c r="N94" i="28" s="1"/>
  <c r="D93" i="28"/>
  <c r="S93" i="28" s="1"/>
  <c r="D92" i="28"/>
  <c r="Q92" i="28" s="1"/>
  <c r="D91" i="28"/>
  <c r="AQ66" i="28" s="1"/>
  <c r="D90" i="28"/>
  <c r="O90" i="28" s="1"/>
  <c r="D89" i="28"/>
  <c r="E70" i="28" s="1"/>
  <c r="D88" i="28"/>
  <c r="S88" i="28" s="1"/>
  <c r="D87" i="28"/>
  <c r="O87" i="28" s="1"/>
  <c r="D86" i="28"/>
  <c r="N86" i="28" s="1"/>
  <c r="D85" i="28"/>
  <c r="S85" i="28" s="1"/>
  <c r="D84" i="28"/>
  <c r="D83" i="28"/>
  <c r="E64" i="28" s="1"/>
  <c r="H64" i="28" s="1"/>
  <c r="M64" i="28" s="1"/>
  <c r="D82" i="28"/>
  <c r="E63" i="28" s="1"/>
  <c r="D81" i="28"/>
  <c r="R81" i="28" s="1"/>
  <c r="AM78" i="28"/>
  <c r="AE78" i="28"/>
  <c r="AM75" i="28"/>
  <c r="AE75" i="28"/>
  <c r="AM72" i="28"/>
  <c r="AE72" i="28"/>
  <c r="AM69" i="28"/>
  <c r="AE69" i="28"/>
  <c r="AM66" i="28"/>
  <c r="AE66" i="28"/>
  <c r="AM63" i="28"/>
  <c r="AE63" i="28"/>
  <c r="AM60" i="28"/>
  <c r="AE60" i="28"/>
  <c r="AM57" i="28"/>
  <c r="AE57" i="28"/>
  <c r="AM54" i="28"/>
  <c r="AE54" i="28"/>
  <c r="AM51" i="28"/>
  <c r="AE51" i="28"/>
  <c r="AM48" i="28"/>
  <c r="AE48" i="28"/>
  <c r="AM45" i="28"/>
  <c r="AE45" i="28"/>
  <c r="AM42" i="28"/>
  <c r="AE42" i="28"/>
  <c r="AM39" i="28"/>
  <c r="AE39" i="28"/>
  <c r="AM36" i="28"/>
  <c r="AE36" i="28"/>
  <c r="D19" i="28"/>
  <c r="Q19" i="28" s="1"/>
  <c r="D18" i="28"/>
  <c r="AF75" i="28" s="1"/>
  <c r="D17" i="28"/>
  <c r="E46" i="26" s="1"/>
  <c r="D16" i="28"/>
  <c r="E45" i="26" s="1"/>
  <c r="D15" i="28"/>
  <c r="E44" i="26" s="1"/>
  <c r="D14" i="28"/>
  <c r="Q14" i="28" s="1"/>
  <c r="D13" i="28"/>
  <c r="AF60" i="28" s="1"/>
  <c r="D12" i="28"/>
  <c r="E41" i="26" s="1"/>
  <c r="D11" i="28"/>
  <c r="Q11" i="28" s="1"/>
  <c r="D10" i="28"/>
  <c r="Q10" i="28" s="1"/>
  <c r="D9" i="28"/>
  <c r="Q9" i="28" s="1"/>
  <c r="D8" i="28"/>
  <c r="AF45" i="28" s="1"/>
  <c r="D7" i="28"/>
  <c r="O7" i="28" s="1"/>
  <c r="D6" i="28"/>
  <c r="E35" i="26" s="1"/>
  <c r="D5" i="28"/>
  <c r="Q5" i="28" s="1"/>
  <c r="AM78" i="25"/>
  <c r="AE78" i="25"/>
  <c r="AM75" i="25"/>
  <c r="AE75" i="25"/>
  <c r="AM72" i="25"/>
  <c r="AE72" i="25"/>
  <c r="AM69" i="25"/>
  <c r="AE69" i="25"/>
  <c r="AM66" i="25"/>
  <c r="AE66" i="25"/>
  <c r="AM63" i="25"/>
  <c r="AE63" i="25"/>
  <c r="AM60" i="25"/>
  <c r="AE60" i="25"/>
  <c r="AM57" i="25"/>
  <c r="AE57" i="25"/>
  <c r="AM54" i="25"/>
  <c r="AE54" i="25"/>
  <c r="AM51" i="25"/>
  <c r="AE51" i="25"/>
  <c r="AM48" i="25"/>
  <c r="AE48" i="25"/>
  <c r="AM45" i="25"/>
  <c r="AE45" i="25"/>
  <c r="AM42" i="25"/>
  <c r="AE42" i="25"/>
  <c r="AM39" i="25"/>
  <c r="AE39" i="25"/>
  <c r="AM36" i="25"/>
  <c r="AE36" i="25"/>
  <c r="AM78" i="24"/>
  <c r="AE78" i="24"/>
  <c r="AM75" i="24"/>
  <c r="AE75" i="24"/>
  <c r="AM72" i="24"/>
  <c r="AE72" i="24"/>
  <c r="AM69" i="24"/>
  <c r="AE69" i="24"/>
  <c r="AM66" i="24"/>
  <c r="AE66" i="24"/>
  <c r="AM63" i="24"/>
  <c r="AE63" i="24"/>
  <c r="AM60" i="24"/>
  <c r="AE60" i="24"/>
  <c r="AM57" i="24"/>
  <c r="AE57" i="24"/>
  <c r="AM54" i="24"/>
  <c r="AE54" i="24"/>
  <c r="AM51" i="24"/>
  <c r="AE51" i="24"/>
  <c r="AM48" i="24"/>
  <c r="AE48" i="24"/>
  <c r="AM45" i="24"/>
  <c r="AE45" i="24"/>
  <c r="AM42" i="24"/>
  <c r="AE42" i="24"/>
  <c r="AM39" i="24"/>
  <c r="AE39" i="24"/>
  <c r="AM36" i="24"/>
  <c r="AE36" i="24"/>
  <c r="J44" i="30" l="1"/>
  <c r="D128" i="30"/>
  <c r="AP11" i="30" s="1"/>
  <c r="K128" i="30"/>
  <c r="L128" i="30"/>
  <c r="D68" i="29"/>
  <c r="D71" i="29"/>
  <c r="E52" i="29" s="1"/>
  <c r="E46" i="29"/>
  <c r="M71" i="29"/>
  <c r="H65" i="29"/>
  <c r="M65" i="29" s="1"/>
  <c r="E55" i="29"/>
  <c r="D55" i="29" s="1"/>
  <c r="K55" i="29" s="1"/>
  <c r="H74" i="29"/>
  <c r="K74" i="29" s="1"/>
  <c r="E25" i="30"/>
  <c r="D25" i="30" s="1"/>
  <c r="E4" i="31" s="1"/>
  <c r="AP39" i="30"/>
  <c r="AO40" i="30" s="1"/>
  <c r="K74" i="30"/>
  <c r="H70" i="29"/>
  <c r="M70" i="29" s="1"/>
  <c r="D66" i="29"/>
  <c r="AP48" i="29" s="1"/>
  <c r="L75" i="30"/>
  <c r="AP5" i="30"/>
  <c r="AP6" i="30" s="1"/>
  <c r="D75" i="30"/>
  <c r="AP75" i="30" s="1"/>
  <c r="H129" i="29"/>
  <c r="K129" i="29" s="1"/>
  <c r="AQ9" i="29"/>
  <c r="L74" i="30"/>
  <c r="K75" i="30"/>
  <c r="AQ76" i="30"/>
  <c r="H63" i="30"/>
  <c r="K63" i="30" s="1"/>
  <c r="E76" i="28"/>
  <c r="D76" i="28" s="1"/>
  <c r="E57" i="28" s="1"/>
  <c r="AQ78" i="28"/>
  <c r="AQ79" i="28" s="1"/>
  <c r="E71" i="28"/>
  <c r="H71" i="28" s="1"/>
  <c r="AQ63" i="28"/>
  <c r="AQ64" i="28" s="1"/>
  <c r="E66" i="28"/>
  <c r="AQ70" i="29"/>
  <c r="AQ55" i="29"/>
  <c r="AQ49" i="29"/>
  <c r="K65" i="29"/>
  <c r="H63" i="29"/>
  <c r="D63" i="29"/>
  <c r="L128" i="29"/>
  <c r="M128" i="29"/>
  <c r="AP11" i="29"/>
  <c r="E120" i="29"/>
  <c r="K128" i="29"/>
  <c r="D127" i="29"/>
  <c r="AQ64" i="30"/>
  <c r="D66" i="30"/>
  <c r="E47" i="30" s="1"/>
  <c r="H130" i="30"/>
  <c r="D130" i="30"/>
  <c r="AQ6" i="30"/>
  <c r="L71" i="30"/>
  <c r="M71" i="30"/>
  <c r="H67" i="30"/>
  <c r="D67" i="30"/>
  <c r="AQ49" i="30"/>
  <c r="H65" i="30"/>
  <c r="K65" i="30" s="1"/>
  <c r="D65" i="30"/>
  <c r="AP72" i="30"/>
  <c r="E55" i="30"/>
  <c r="AQ46" i="30"/>
  <c r="E43" i="30"/>
  <c r="D43" i="30" s="1"/>
  <c r="AQ40" i="30"/>
  <c r="AQ79" i="30"/>
  <c r="K62" i="30"/>
  <c r="AP78" i="30"/>
  <c r="E57" i="30"/>
  <c r="K71" i="30"/>
  <c r="AQ6" i="29"/>
  <c r="AQ46" i="29"/>
  <c r="AQ64" i="29"/>
  <c r="AP46" i="29"/>
  <c r="AQ76" i="29"/>
  <c r="AO72" i="29"/>
  <c r="K75" i="29"/>
  <c r="AQ37" i="29"/>
  <c r="AQ73" i="29"/>
  <c r="AP73" i="29"/>
  <c r="L74" i="29"/>
  <c r="M74" i="29"/>
  <c r="M75" i="29"/>
  <c r="AP51" i="29"/>
  <c r="E48" i="29"/>
  <c r="D75" i="29"/>
  <c r="AP75" i="29" s="1"/>
  <c r="L76" i="29"/>
  <c r="M76" i="29"/>
  <c r="D57" i="29"/>
  <c r="K76" i="29"/>
  <c r="K121" i="30"/>
  <c r="E113" i="30"/>
  <c r="AO5" i="30"/>
  <c r="AP60" i="30"/>
  <c r="E51" i="30"/>
  <c r="H72" i="30"/>
  <c r="K72" i="30" s="1"/>
  <c r="D72" i="30"/>
  <c r="J121" i="30"/>
  <c r="AP42" i="30"/>
  <c r="E45" i="30"/>
  <c r="H127" i="30"/>
  <c r="K127" i="30" s="1"/>
  <c r="D127" i="30"/>
  <c r="E52" i="30"/>
  <c r="AP63" i="30"/>
  <c r="M62" i="30"/>
  <c r="L62" i="30"/>
  <c r="AP48" i="30"/>
  <c r="L73" i="30"/>
  <c r="M73" i="30"/>
  <c r="AQ70" i="30"/>
  <c r="D69" i="30"/>
  <c r="H69" i="30"/>
  <c r="K69" i="30" s="1"/>
  <c r="M66" i="30"/>
  <c r="L66" i="30"/>
  <c r="M64" i="30"/>
  <c r="L64" i="30"/>
  <c r="K66" i="30"/>
  <c r="AP37" i="30"/>
  <c r="AP54" i="30"/>
  <c r="E49" i="30"/>
  <c r="AP69" i="30"/>
  <c r="E54" i="30"/>
  <c r="M68" i="30"/>
  <c r="L68" i="30"/>
  <c r="M70" i="30"/>
  <c r="L70" i="30"/>
  <c r="M129" i="30"/>
  <c r="L129" i="30"/>
  <c r="K70" i="30"/>
  <c r="K129" i="30"/>
  <c r="E113" i="29"/>
  <c r="AO5" i="29"/>
  <c r="K121" i="29"/>
  <c r="M62" i="29"/>
  <c r="L62" i="29"/>
  <c r="M127" i="29"/>
  <c r="L127" i="29"/>
  <c r="H72" i="29"/>
  <c r="D72" i="29"/>
  <c r="M66" i="29"/>
  <c r="K66" i="29"/>
  <c r="L66" i="29"/>
  <c r="K127" i="29"/>
  <c r="J121" i="29"/>
  <c r="M68" i="29"/>
  <c r="L68" i="29"/>
  <c r="AQ61" i="29"/>
  <c r="AP8" i="29"/>
  <c r="E119" i="29"/>
  <c r="AP69" i="29"/>
  <c r="E54" i="29"/>
  <c r="AQ67" i="29"/>
  <c r="AP63" i="29"/>
  <c r="E122" i="29"/>
  <c r="AP14" i="29"/>
  <c r="E43" i="29"/>
  <c r="AP36" i="29"/>
  <c r="D46" i="29"/>
  <c r="J46" i="29" s="1"/>
  <c r="K68" i="29"/>
  <c r="AQ58" i="29"/>
  <c r="AP6" i="29"/>
  <c r="D69" i="29"/>
  <c r="H69" i="29"/>
  <c r="K69" i="29" s="1"/>
  <c r="AQ43" i="29"/>
  <c r="E49" i="29"/>
  <c r="AP54" i="29"/>
  <c r="AP60" i="29"/>
  <c r="E51" i="29"/>
  <c r="E45" i="29"/>
  <c r="AP42" i="29"/>
  <c r="E43" i="26"/>
  <c r="O11" i="28"/>
  <c r="N7" i="28"/>
  <c r="Q7" i="28"/>
  <c r="AF5" i="28"/>
  <c r="AQ5" i="28"/>
  <c r="AQ6" i="28" s="1"/>
  <c r="P137" i="28"/>
  <c r="O136" i="28"/>
  <c r="P136" i="28"/>
  <c r="E128" i="28"/>
  <c r="D128" i="28" s="1"/>
  <c r="E120" i="28" s="1"/>
  <c r="D120" i="28" s="1"/>
  <c r="J120" i="28" s="1"/>
  <c r="AQ11" i="28"/>
  <c r="AQ12" i="28" s="1"/>
  <c r="AQ57" i="28"/>
  <c r="AQ58" i="28" s="1"/>
  <c r="R87" i="28"/>
  <c r="E68" i="28"/>
  <c r="D68" i="28" s="1"/>
  <c r="AQ51" i="28"/>
  <c r="AQ52" i="28" s="1"/>
  <c r="AQ48" i="28"/>
  <c r="N5" i="28"/>
  <c r="P5" i="28"/>
  <c r="E34" i="26"/>
  <c r="E48" i="26"/>
  <c r="E40" i="26"/>
  <c r="AF54" i="28"/>
  <c r="AF63" i="28"/>
  <c r="E47" i="26"/>
  <c r="E39" i="26"/>
  <c r="N14" i="28"/>
  <c r="E38" i="26"/>
  <c r="O14" i="28"/>
  <c r="E37" i="26"/>
  <c r="P14" i="28"/>
  <c r="E36" i="26"/>
  <c r="P7" i="28"/>
  <c r="E42" i="26"/>
  <c r="E75" i="28"/>
  <c r="D75" i="28" s="1"/>
  <c r="R94" i="28"/>
  <c r="E62" i="28"/>
  <c r="H62" i="28" s="1"/>
  <c r="S94" i="28"/>
  <c r="E69" i="28"/>
  <c r="H69" i="28" s="1"/>
  <c r="M69" i="28" s="1"/>
  <c r="S90" i="28"/>
  <c r="AQ36" i="28"/>
  <c r="P87" i="28"/>
  <c r="AQ67" i="28"/>
  <c r="P85" i="28"/>
  <c r="P91" i="28"/>
  <c r="R85" i="28"/>
  <c r="Q88" i="28"/>
  <c r="N95" i="28"/>
  <c r="R88" i="28"/>
  <c r="R95" i="28"/>
  <c r="S86" i="28"/>
  <c r="O93" i="28"/>
  <c r="N87" i="28"/>
  <c r="P94" i="28"/>
  <c r="O105" i="28"/>
  <c r="E54" i="26"/>
  <c r="E52" i="26"/>
  <c r="AF11" i="28"/>
  <c r="O104" i="28"/>
  <c r="N138" i="28"/>
  <c r="Q138" i="28"/>
  <c r="S138" i="28"/>
  <c r="AQ14" i="28"/>
  <c r="AQ15" i="28" s="1"/>
  <c r="S136" i="28"/>
  <c r="E130" i="28"/>
  <c r="O137" i="28"/>
  <c r="R137" i="28"/>
  <c r="Q137" i="28"/>
  <c r="N8" i="28"/>
  <c r="O10" i="28"/>
  <c r="N13" i="28"/>
  <c r="Q18" i="28"/>
  <c r="N18" i="28"/>
  <c r="P18" i="28"/>
  <c r="O8" i="28"/>
  <c r="P10" i="28"/>
  <c r="O13" i="28"/>
  <c r="AF42" i="28"/>
  <c r="AF51" i="28"/>
  <c r="P8" i="28"/>
  <c r="P13" i="28"/>
  <c r="Q8" i="28"/>
  <c r="Q13" i="28"/>
  <c r="H70" i="28"/>
  <c r="K70" i="28" s="1"/>
  <c r="D70" i="28"/>
  <c r="H76" i="28"/>
  <c r="K76" i="28" s="1"/>
  <c r="O83" i="28"/>
  <c r="P93" i="28"/>
  <c r="O86" i="28"/>
  <c r="Q87" i="28"/>
  <c r="S89" i="28"/>
  <c r="N92" i="28"/>
  <c r="Q93" i="28"/>
  <c r="P86" i="28"/>
  <c r="O92" i="28"/>
  <c r="R93" i="28"/>
  <c r="AQ42" i="28"/>
  <c r="E67" i="28"/>
  <c r="AQ72" i="28"/>
  <c r="AQ73" i="28" s="1"/>
  <c r="N85" i="28"/>
  <c r="Q86" i="28"/>
  <c r="S87" i="28"/>
  <c r="N90" i="28"/>
  <c r="P92" i="28"/>
  <c r="P95" i="28"/>
  <c r="AQ54" i="28"/>
  <c r="AQ60" i="28"/>
  <c r="E73" i="28"/>
  <c r="D73" i="28" s="1"/>
  <c r="O85" i="28"/>
  <c r="R86" i="28"/>
  <c r="O94" i="28"/>
  <c r="Q95" i="28"/>
  <c r="E74" i="28"/>
  <c r="Q85" i="28"/>
  <c r="N93" i="28"/>
  <c r="Q94" i="28"/>
  <c r="S95" i="28"/>
  <c r="P105" i="28"/>
  <c r="Q105" i="28"/>
  <c r="AP11" i="28"/>
  <c r="Q136" i="28"/>
  <c r="S137" i="28"/>
  <c r="R136" i="28"/>
  <c r="P138" i="28"/>
  <c r="R138" i="28"/>
  <c r="AQ9" i="28"/>
  <c r="N12" i="28"/>
  <c r="AF57" i="28"/>
  <c r="Q12" i="28"/>
  <c r="O12" i="28"/>
  <c r="P12" i="28"/>
  <c r="AF72" i="28"/>
  <c r="Q17" i="28"/>
  <c r="P17" i="28"/>
  <c r="N17" i="28"/>
  <c r="O17" i="28"/>
  <c r="H63" i="28"/>
  <c r="D63" i="28"/>
  <c r="AF39" i="28"/>
  <c r="Q6" i="28"/>
  <c r="O6" i="28"/>
  <c r="N6" i="28"/>
  <c r="P6" i="28"/>
  <c r="AF69" i="28"/>
  <c r="Q16" i="28"/>
  <c r="P16" i="28"/>
  <c r="N9" i="28"/>
  <c r="P9" i="28"/>
  <c r="AF66" i="28"/>
  <c r="P15" i="28"/>
  <c r="O15" i="28"/>
  <c r="N15" i="28"/>
  <c r="Q15" i="28"/>
  <c r="AF36" i="28"/>
  <c r="O82" i="28"/>
  <c r="Q106" i="28"/>
  <c r="P106" i="28"/>
  <c r="O106" i="28"/>
  <c r="N106" i="28"/>
  <c r="O16" i="28"/>
  <c r="L64" i="28"/>
  <c r="P103" i="28"/>
  <c r="O103" i="28"/>
  <c r="N103" i="28"/>
  <c r="Q103" i="28"/>
  <c r="N11" i="28"/>
  <c r="H75" i="28"/>
  <c r="K75" i="28" s="1"/>
  <c r="AQ45" i="28"/>
  <c r="S84" i="28"/>
  <c r="R84" i="28"/>
  <c r="Q84" i="28"/>
  <c r="P84" i="28"/>
  <c r="E65" i="28"/>
  <c r="O84" i="28"/>
  <c r="N84" i="28"/>
  <c r="AF48" i="28"/>
  <c r="O9" i="28"/>
  <c r="N16" i="28"/>
  <c r="O5" i="28"/>
  <c r="N10" i="28"/>
  <c r="P11" i="28"/>
  <c r="AF14" i="28"/>
  <c r="AF78" i="28"/>
  <c r="P19" i="28"/>
  <c r="O19" i="28"/>
  <c r="N19" i="28"/>
  <c r="R82" i="28"/>
  <c r="Q82" i="28"/>
  <c r="P82" i="28"/>
  <c r="S82" i="28"/>
  <c r="N82" i="28"/>
  <c r="AQ39" i="28"/>
  <c r="AQ55" i="28"/>
  <c r="Q104" i="28"/>
  <c r="P104" i="28"/>
  <c r="N104" i="28"/>
  <c r="K64" i="28"/>
  <c r="D64" i="28"/>
  <c r="K69" i="28"/>
  <c r="H66" i="28"/>
  <c r="D66" i="28"/>
  <c r="Q89" i="28"/>
  <c r="P89" i="28"/>
  <c r="O89" i="28"/>
  <c r="S91" i="28"/>
  <c r="E72" i="28"/>
  <c r="R91" i="28"/>
  <c r="Q91" i="28"/>
  <c r="P135" i="28"/>
  <c r="N135" i="28"/>
  <c r="E127" i="28"/>
  <c r="S135" i="28"/>
  <c r="R135" i="28"/>
  <c r="Q81" i="28"/>
  <c r="P81" i="28"/>
  <c r="O81" i="28"/>
  <c r="S83" i="28"/>
  <c r="R83" i="28"/>
  <c r="Q83" i="28"/>
  <c r="N89" i="28"/>
  <c r="N91" i="28"/>
  <c r="O135" i="28"/>
  <c r="N81" i="28"/>
  <c r="N83" i="28"/>
  <c r="R89" i="28"/>
  <c r="O91" i="28"/>
  <c r="Q135" i="28"/>
  <c r="O18" i="28"/>
  <c r="S81" i="28"/>
  <c r="P83" i="28"/>
  <c r="P88" i="28"/>
  <c r="O88" i="28"/>
  <c r="N88" i="28"/>
  <c r="R90" i="28"/>
  <c r="Q90" i="28"/>
  <c r="P90" i="28"/>
  <c r="AQ69" i="28"/>
  <c r="S92" i="28"/>
  <c r="R92" i="28"/>
  <c r="AQ75" i="28"/>
  <c r="E129" i="28"/>
  <c r="D137" i="25"/>
  <c r="AQ5" i="25" s="1"/>
  <c r="D93" i="24"/>
  <c r="AQ72" i="24" s="1"/>
  <c r="D137" i="24"/>
  <c r="AQ5" i="24" s="1"/>
  <c r="D5" i="24"/>
  <c r="D104" i="24"/>
  <c r="F53" i="31" s="1"/>
  <c r="D106" i="24"/>
  <c r="F55" i="31" s="1"/>
  <c r="D82" i="24"/>
  <c r="D83" i="24"/>
  <c r="AQ42" i="24" s="1"/>
  <c r="D84" i="24"/>
  <c r="AQ45" i="24" s="1"/>
  <c r="D85" i="24"/>
  <c r="AQ48" i="24" s="1"/>
  <c r="D86" i="24"/>
  <c r="D87" i="24"/>
  <c r="D88" i="24"/>
  <c r="D89" i="24"/>
  <c r="D90" i="24"/>
  <c r="D91" i="24"/>
  <c r="AQ66" i="24" s="1"/>
  <c r="D92" i="24"/>
  <c r="AQ69" i="24" s="1"/>
  <c r="D94" i="24"/>
  <c r="AQ75" i="24" s="1"/>
  <c r="D95" i="24"/>
  <c r="D81" i="24"/>
  <c r="D138" i="24"/>
  <c r="AQ14" i="24" s="1"/>
  <c r="D136" i="24"/>
  <c r="AQ11" i="24" s="1"/>
  <c r="D135" i="24"/>
  <c r="AQ8" i="24" s="1"/>
  <c r="E130" i="24"/>
  <c r="D130" i="24" s="1"/>
  <c r="E127" i="24"/>
  <c r="D127" i="24" s="1"/>
  <c r="E75" i="24"/>
  <c r="D75" i="24" s="1"/>
  <c r="D138" i="25"/>
  <c r="D136" i="25"/>
  <c r="E128" i="25" s="1"/>
  <c r="D135" i="25"/>
  <c r="E127" i="25" s="1"/>
  <c r="D127" i="25" s="1"/>
  <c r="D95" i="25"/>
  <c r="D94" i="25"/>
  <c r="D93" i="25"/>
  <c r="D92" i="25"/>
  <c r="D91" i="25"/>
  <c r="D90" i="25"/>
  <c r="D89" i="25"/>
  <c r="D88" i="25"/>
  <c r="D87" i="25"/>
  <c r="D86" i="25"/>
  <c r="D85" i="25"/>
  <c r="D84" i="25"/>
  <c r="D83" i="25"/>
  <c r="D82" i="25"/>
  <c r="E63" i="25" s="1"/>
  <c r="D63" i="25" s="1"/>
  <c r="D81" i="25"/>
  <c r="Q136" i="24"/>
  <c r="O135" i="24"/>
  <c r="R95" i="24"/>
  <c r="Q94" i="24"/>
  <c r="Q86" i="24"/>
  <c r="Q85" i="24"/>
  <c r="D19" i="24"/>
  <c r="D18" i="24"/>
  <c r="D16" i="24"/>
  <c r="D15" i="24"/>
  <c r="D14" i="24"/>
  <c r="D13" i="24"/>
  <c r="D12" i="24"/>
  <c r="D11" i="24"/>
  <c r="D10" i="24"/>
  <c r="D9" i="24"/>
  <c r="D8" i="24"/>
  <c r="D7" i="24"/>
  <c r="D6" i="24"/>
  <c r="AP40" i="30" l="1"/>
  <c r="E36" i="29"/>
  <c r="J55" i="29"/>
  <c r="L65" i="29"/>
  <c r="E120" i="30"/>
  <c r="D120" i="30" s="1"/>
  <c r="J120" i="30" s="1"/>
  <c r="M63" i="30"/>
  <c r="N25" i="30"/>
  <c r="L63" i="30"/>
  <c r="N83" i="24"/>
  <c r="Q93" i="24"/>
  <c r="E56" i="29"/>
  <c r="D56" i="29" s="1"/>
  <c r="J56" i="29" s="1"/>
  <c r="E56" i="30"/>
  <c r="D56" i="30" s="1"/>
  <c r="D62" i="28"/>
  <c r="O92" i="24"/>
  <c r="M70" i="28"/>
  <c r="L70" i="29"/>
  <c r="E47" i="29"/>
  <c r="D47" i="29" s="1"/>
  <c r="J47" i="29" s="1"/>
  <c r="E74" i="24"/>
  <c r="H73" i="28"/>
  <c r="K73" i="28" s="1"/>
  <c r="E73" i="24"/>
  <c r="K70" i="29"/>
  <c r="M129" i="29"/>
  <c r="L129" i="29"/>
  <c r="F48" i="31"/>
  <c r="AF78" i="24"/>
  <c r="F47" i="31"/>
  <c r="AF75" i="24"/>
  <c r="F45" i="31"/>
  <c r="AF69" i="24"/>
  <c r="F44" i="31"/>
  <c r="AF66" i="24"/>
  <c r="F43" i="31"/>
  <c r="AF63" i="24"/>
  <c r="F42" i="31"/>
  <c r="AF60" i="24"/>
  <c r="F41" i="31"/>
  <c r="AF57" i="24"/>
  <c r="F40" i="31"/>
  <c r="AF54" i="24"/>
  <c r="F39" i="31"/>
  <c r="AF51" i="24"/>
  <c r="F38" i="31"/>
  <c r="AF48" i="24"/>
  <c r="F37" i="31"/>
  <c r="AF45" i="24"/>
  <c r="F36" i="31"/>
  <c r="AF42" i="24"/>
  <c r="F35" i="31"/>
  <c r="AF39" i="24"/>
  <c r="F34" i="31"/>
  <c r="AF36" i="24"/>
  <c r="H53" i="31"/>
  <c r="L53" i="31" s="1"/>
  <c r="H55" i="31"/>
  <c r="Q137" i="25"/>
  <c r="E44" i="25"/>
  <c r="D44" i="25" s="1"/>
  <c r="AO39" i="25" s="1"/>
  <c r="AP39" i="25"/>
  <c r="R88" i="25"/>
  <c r="AQ57" i="25"/>
  <c r="E69" i="25"/>
  <c r="H69" i="25" s="1"/>
  <c r="M69" i="25" s="1"/>
  <c r="P81" i="25"/>
  <c r="AQ36" i="25"/>
  <c r="S85" i="25"/>
  <c r="AQ48" i="25"/>
  <c r="P89" i="25"/>
  <c r="AQ60" i="25"/>
  <c r="Q93" i="25"/>
  <c r="AQ72" i="25"/>
  <c r="S84" i="25"/>
  <c r="AQ45" i="25"/>
  <c r="P82" i="25"/>
  <c r="AQ39" i="25"/>
  <c r="S86" i="25"/>
  <c r="AQ51" i="25"/>
  <c r="P90" i="25"/>
  <c r="AQ63" i="25"/>
  <c r="S94" i="25"/>
  <c r="AQ75" i="25"/>
  <c r="S92" i="25"/>
  <c r="AQ69" i="25"/>
  <c r="P83" i="25"/>
  <c r="AQ42" i="25"/>
  <c r="Q87" i="25"/>
  <c r="AQ54" i="25"/>
  <c r="P91" i="25"/>
  <c r="AQ66" i="25"/>
  <c r="Q95" i="25"/>
  <c r="AQ78" i="25"/>
  <c r="R138" i="24"/>
  <c r="Q137" i="24"/>
  <c r="E128" i="24"/>
  <c r="H127" i="24"/>
  <c r="M127" i="24" s="1"/>
  <c r="E76" i="24"/>
  <c r="AQ78" i="24"/>
  <c r="E56" i="24"/>
  <c r="D56" i="24" s="1"/>
  <c r="AO75" i="24" s="1"/>
  <c r="AP75" i="24"/>
  <c r="AQ76" i="24"/>
  <c r="AQ73" i="24"/>
  <c r="AQ70" i="24"/>
  <c r="AQ67" i="24"/>
  <c r="N91" i="24"/>
  <c r="E72" i="24"/>
  <c r="H72" i="24" s="1"/>
  <c r="E71" i="24"/>
  <c r="AQ63" i="24"/>
  <c r="S89" i="24"/>
  <c r="AQ60" i="24"/>
  <c r="S88" i="24"/>
  <c r="AQ57" i="24"/>
  <c r="E68" i="24"/>
  <c r="AQ54" i="24"/>
  <c r="E67" i="24"/>
  <c r="AQ51" i="24"/>
  <c r="AQ49" i="24"/>
  <c r="E66" i="24"/>
  <c r="E65" i="24"/>
  <c r="O84" i="24"/>
  <c r="AQ46" i="24"/>
  <c r="E64" i="24"/>
  <c r="H64" i="24" s="1"/>
  <c r="M64" i="24" s="1"/>
  <c r="AQ43" i="24"/>
  <c r="E63" i="24"/>
  <c r="H63" i="24" s="1"/>
  <c r="AQ39" i="24"/>
  <c r="E62" i="24"/>
  <c r="AQ36" i="24"/>
  <c r="AP78" i="28"/>
  <c r="D71" i="28"/>
  <c r="AP63" i="28" s="1"/>
  <c r="L70" i="28"/>
  <c r="AQ49" i="28"/>
  <c r="AQ37" i="28"/>
  <c r="H68" i="28"/>
  <c r="K68" i="28" s="1"/>
  <c r="AP39" i="29"/>
  <c r="E44" i="29"/>
  <c r="D44" i="29" s="1"/>
  <c r="E25" i="29" s="1"/>
  <c r="K63" i="29"/>
  <c r="M63" i="29"/>
  <c r="L63" i="29"/>
  <c r="D120" i="29"/>
  <c r="J120" i="29" s="1"/>
  <c r="AP12" i="29"/>
  <c r="J43" i="30"/>
  <c r="AP12" i="30"/>
  <c r="E122" i="30"/>
  <c r="AP14" i="30"/>
  <c r="M130" i="30"/>
  <c r="L130" i="30"/>
  <c r="K130" i="30"/>
  <c r="D57" i="30"/>
  <c r="J57" i="30" s="1"/>
  <c r="AP51" i="30"/>
  <c r="E48" i="30"/>
  <c r="D48" i="30" s="1"/>
  <c r="AO51" i="30" s="1"/>
  <c r="AP79" i="30"/>
  <c r="D55" i="30"/>
  <c r="J55" i="30" s="1"/>
  <c r="M67" i="30"/>
  <c r="L67" i="30"/>
  <c r="AP73" i="30"/>
  <c r="K67" i="30"/>
  <c r="AP45" i="30"/>
  <c r="E46" i="30"/>
  <c r="M65" i="30"/>
  <c r="L65" i="30"/>
  <c r="AP52" i="29"/>
  <c r="K57" i="29"/>
  <c r="E38" i="29"/>
  <c r="AO78" i="29"/>
  <c r="J57" i="29"/>
  <c r="D48" i="29"/>
  <c r="J48" i="29" s="1"/>
  <c r="AO73" i="29"/>
  <c r="D45" i="30"/>
  <c r="AP64" i="30"/>
  <c r="S25" i="30"/>
  <c r="R25" i="30"/>
  <c r="Q25" i="30"/>
  <c r="AN39" i="30"/>
  <c r="AO41" i="30" s="1"/>
  <c r="P25" i="30"/>
  <c r="O25" i="30"/>
  <c r="D52" i="30"/>
  <c r="J52" i="30" s="1"/>
  <c r="D51" i="30"/>
  <c r="J51" i="30" s="1"/>
  <c r="AP43" i="30"/>
  <c r="E119" i="30"/>
  <c r="AP8" i="30"/>
  <c r="AP61" i="30"/>
  <c r="D49" i="30"/>
  <c r="J49" i="30" s="1"/>
  <c r="AP55" i="30"/>
  <c r="E24" i="30"/>
  <c r="K43" i="30"/>
  <c r="AO36" i="30"/>
  <c r="D47" i="30"/>
  <c r="AP70" i="30"/>
  <c r="M72" i="30"/>
  <c r="L72" i="30"/>
  <c r="AP76" i="30"/>
  <c r="AP49" i="30"/>
  <c r="AO6" i="30"/>
  <c r="E50" i="30"/>
  <c r="AP57" i="30"/>
  <c r="M127" i="30"/>
  <c r="L127" i="30"/>
  <c r="D54" i="30"/>
  <c r="J54" i="30" s="1"/>
  <c r="L69" i="30"/>
  <c r="M69" i="30"/>
  <c r="AP66" i="30"/>
  <c r="E53" i="30"/>
  <c r="D113" i="30"/>
  <c r="D122" i="29"/>
  <c r="J122" i="29" s="1"/>
  <c r="L72" i="29"/>
  <c r="M72" i="29"/>
  <c r="AP76" i="29"/>
  <c r="M69" i="29"/>
  <c r="L69" i="29"/>
  <c r="D52" i="29"/>
  <c r="J52" i="29" s="1"/>
  <c r="D45" i="29"/>
  <c r="AP70" i="29"/>
  <c r="AP49" i="29"/>
  <c r="AP64" i="29"/>
  <c r="D51" i="29"/>
  <c r="J51" i="29" s="1"/>
  <c r="D119" i="29"/>
  <c r="J119" i="29" s="1"/>
  <c r="AP61" i="29"/>
  <c r="AP37" i="29"/>
  <c r="AP9" i="29"/>
  <c r="AP43" i="29"/>
  <c r="AP55" i="29"/>
  <c r="D43" i="29"/>
  <c r="J43" i="29" s="1"/>
  <c r="K72" i="29"/>
  <c r="AO6" i="29"/>
  <c r="AP57" i="29"/>
  <c r="E50" i="29"/>
  <c r="AO45" i="29"/>
  <c r="K46" i="29"/>
  <c r="E27" i="29"/>
  <c r="D54" i="29"/>
  <c r="D49" i="29"/>
  <c r="AP15" i="29"/>
  <c r="E53" i="29"/>
  <c r="AP66" i="29"/>
  <c r="D113" i="29"/>
  <c r="H128" i="28"/>
  <c r="M128" i="28" s="1"/>
  <c r="D69" i="28"/>
  <c r="E50" i="28" s="1"/>
  <c r="L69" i="28"/>
  <c r="L76" i="28"/>
  <c r="M76" i="28"/>
  <c r="AP12" i="28"/>
  <c r="D130" i="28"/>
  <c r="H130" i="28"/>
  <c r="AQ43" i="28"/>
  <c r="AP60" i="28"/>
  <c r="E51" i="28"/>
  <c r="D51" i="28" s="1"/>
  <c r="J51" i="28" s="1"/>
  <c r="H67" i="28"/>
  <c r="D67" i="28"/>
  <c r="D74" i="28"/>
  <c r="H74" i="28"/>
  <c r="AQ61" i="28"/>
  <c r="AP79" i="28"/>
  <c r="AQ40" i="28"/>
  <c r="D72" i="28"/>
  <c r="H72" i="28"/>
  <c r="K72" i="28" s="1"/>
  <c r="AP48" i="28"/>
  <c r="E47" i="28"/>
  <c r="AQ70" i="28"/>
  <c r="D57" i="28"/>
  <c r="AP54" i="28"/>
  <c r="E49" i="28"/>
  <c r="L71" i="28"/>
  <c r="M71" i="28"/>
  <c r="H129" i="28"/>
  <c r="D129" i="28"/>
  <c r="M66" i="28"/>
  <c r="L66" i="28"/>
  <c r="K66" i="28"/>
  <c r="AP75" i="28"/>
  <c r="E56" i="28"/>
  <c r="E54" i="28"/>
  <c r="AP69" i="28"/>
  <c r="M62" i="28"/>
  <c r="L62" i="28"/>
  <c r="L63" i="28"/>
  <c r="M63" i="28"/>
  <c r="AQ76" i="28"/>
  <c r="H65" i="28"/>
  <c r="K65" i="28" s="1"/>
  <c r="D65" i="28"/>
  <c r="M75" i="28"/>
  <c r="L75" i="28"/>
  <c r="K62" i="28"/>
  <c r="K63" i="28"/>
  <c r="AQ46" i="28"/>
  <c r="L73" i="28"/>
  <c r="M73" i="28"/>
  <c r="D127" i="28"/>
  <c r="H127" i="28"/>
  <c r="K127" i="28" s="1"/>
  <c r="K120" i="28"/>
  <c r="E112" i="28"/>
  <c r="AO11" i="28"/>
  <c r="E45" i="28"/>
  <c r="AP42" i="28"/>
  <c r="K71" i="28"/>
  <c r="E43" i="28"/>
  <c r="AP36" i="28"/>
  <c r="E44" i="28"/>
  <c r="AP39" i="28"/>
  <c r="D128" i="25"/>
  <c r="H128" i="25"/>
  <c r="L128" i="25" s="1"/>
  <c r="E119" i="25"/>
  <c r="D119" i="25" s="1"/>
  <c r="AO8" i="25" s="1"/>
  <c r="AP8" i="25"/>
  <c r="Q138" i="25"/>
  <c r="AQ14" i="25"/>
  <c r="E62" i="25"/>
  <c r="E76" i="25"/>
  <c r="D76" i="25" s="1"/>
  <c r="N135" i="25"/>
  <c r="AQ8" i="25"/>
  <c r="E68" i="25"/>
  <c r="H68" i="25" s="1"/>
  <c r="M68" i="25" s="1"/>
  <c r="P136" i="25"/>
  <c r="AQ11" i="25"/>
  <c r="E74" i="25"/>
  <c r="D76" i="24"/>
  <c r="J56" i="24"/>
  <c r="E37" i="24"/>
  <c r="D37" i="24" s="1"/>
  <c r="P37" i="24" s="1"/>
  <c r="AP14" i="24"/>
  <c r="E122" i="24"/>
  <c r="D122" i="24" s="1"/>
  <c r="D67" i="24"/>
  <c r="H67" i="24"/>
  <c r="M67" i="24" s="1"/>
  <c r="AP8" i="24"/>
  <c r="E119" i="24"/>
  <c r="D119" i="24" s="1"/>
  <c r="H62" i="24"/>
  <c r="K62" i="24" s="1"/>
  <c r="D62" i="24"/>
  <c r="H68" i="24"/>
  <c r="M68" i="24" s="1"/>
  <c r="D68" i="24"/>
  <c r="H130" i="24"/>
  <c r="L130" i="24" s="1"/>
  <c r="H75" i="24"/>
  <c r="M75" i="24" s="1"/>
  <c r="R87" i="24"/>
  <c r="E69" i="24"/>
  <c r="S81" i="24"/>
  <c r="P90" i="24"/>
  <c r="P82" i="24"/>
  <c r="O106" i="24"/>
  <c r="Q106" i="24"/>
  <c r="P106" i="24"/>
  <c r="N106" i="24"/>
  <c r="AF11" i="24"/>
  <c r="N104" i="24"/>
  <c r="O104" i="24"/>
  <c r="P104" i="24"/>
  <c r="Q104" i="24"/>
  <c r="F40" i="26"/>
  <c r="P11" i="24"/>
  <c r="O11" i="24"/>
  <c r="N11" i="24"/>
  <c r="Q11" i="24"/>
  <c r="F42" i="26"/>
  <c r="O13" i="24"/>
  <c r="P13" i="24"/>
  <c r="N13" i="24"/>
  <c r="Q13" i="24"/>
  <c r="F35" i="26"/>
  <c r="O6" i="24"/>
  <c r="P6" i="24"/>
  <c r="Q6" i="24"/>
  <c r="N6" i="24"/>
  <c r="F43" i="26"/>
  <c r="O14" i="24"/>
  <c r="P14" i="24"/>
  <c r="Q14" i="24"/>
  <c r="N14" i="24"/>
  <c r="F36" i="26"/>
  <c r="Q7" i="24"/>
  <c r="N7" i="24"/>
  <c r="P7" i="24"/>
  <c r="O7" i="24"/>
  <c r="F44" i="26"/>
  <c r="Q15" i="24"/>
  <c r="P15" i="24"/>
  <c r="N15" i="24"/>
  <c r="O15" i="24"/>
  <c r="F37" i="26"/>
  <c r="O8" i="24"/>
  <c r="P8" i="24"/>
  <c r="Q8" i="24"/>
  <c r="N8" i="24"/>
  <c r="F45" i="26"/>
  <c r="O16" i="24"/>
  <c r="P16" i="24"/>
  <c r="Q16" i="24"/>
  <c r="N16" i="24"/>
  <c r="F38" i="26"/>
  <c r="N9" i="24"/>
  <c r="O9" i="24"/>
  <c r="P9" i="24"/>
  <c r="Q9" i="24"/>
  <c r="F47" i="26"/>
  <c r="P18" i="24"/>
  <c r="Q18" i="24"/>
  <c r="N18" i="24"/>
  <c r="O18" i="24"/>
  <c r="O5" i="24"/>
  <c r="P5" i="24"/>
  <c r="Q5" i="24"/>
  <c r="N5" i="24"/>
  <c r="F41" i="26"/>
  <c r="N12" i="24"/>
  <c r="Q12" i="24"/>
  <c r="O12" i="24"/>
  <c r="P12" i="24"/>
  <c r="F39" i="26"/>
  <c r="P10" i="24"/>
  <c r="Q10" i="24"/>
  <c r="N10" i="24"/>
  <c r="O10" i="24"/>
  <c r="F48" i="26"/>
  <c r="P19" i="24"/>
  <c r="Q19" i="24"/>
  <c r="O19" i="24"/>
  <c r="N19" i="24"/>
  <c r="E130" i="25"/>
  <c r="D130" i="25" s="1"/>
  <c r="E75" i="25"/>
  <c r="E73" i="25"/>
  <c r="E72" i="25"/>
  <c r="E71" i="25"/>
  <c r="E70" i="25"/>
  <c r="H70" i="25" s="1"/>
  <c r="M70" i="25" s="1"/>
  <c r="E67" i="25"/>
  <c r="E66" i="25"/>
  <c r="E65" i="25"/>
  <c r="E64" i="25"/>
  <c r="H63" i="25"/>
  <c r="K63" i="25" s="1"/>
  <c r="E129" i="25"/>
  <c r="H127" i="25"/>
  <c r="M127" i="25" s="1"/>
  <c r="E129" i="24"/>
  <c r="H129" i="24" s="1"/>
  <c r="L129" i="24" s="1"/>
  <c r="Q136" i="25"/>
  <c r="H74" i="24"/>
  <c r="K74" i="24" s="1"/>
  <c r="D74" i="24"/>
  <c r="AP72" i="24" s="1"/>
  <c r="AF14" i="24"/>
  <c r="F55" i="26"/>
  <c r="D103" i="24"/>
  <c r="F52" i="31" s="1"/>
  <c r="S37" i="24"/>
  <c r="H71" i="24"/>
  <c r="L71" i="24" s="1"/>
  <c r="D71" i="24"/>
  <c r="E70" i="24"/>
  <c r="D72" i="24"/>
  <c r="D64" i="24"/>
  <c r="K67" i="24"/>
  <c r="AQ6" i="24"/>
  <c r="L67" i="24"/>
  <c r="F53" i="26"/>
  <c r="L127" i="24"/>
  <c r="AQ6" i="25"/>
  <c r="Q135" i="25"/>
  <c r="N137" i="25"/>
  <c r="S137" i="25"/>
  <c r="O135" i="25"/>
  <c r="R138" i="25"/>
  <c r="P135" i="25"/>
  <c r="R137" i="25"/>
  <c r="R135" i="25"/>
  <c r="S135" i="25"/>
  <c r="N138" i="25"/>
  <c r="O138" i="25"/>
  <c r="S138" i="25"/>
  <c r="Q82" i="25"/>
  <c r="R83" i="25"/>
  <c r="S83" i="25"/>
  <c r="O88" i="25"/>
  <c r="R81" i="25"/>
  <c r="O91" i="25"/>
  <c r="N82" i="25"/>
  <c r="R89" i="25"/>
  <c r="R91" i="25"/>
  <c r="S91" i="25"/>
  <c r="N90" i="25"/>
  <c r="S82" i="25"/>
  <c r="O86" i="25"/>
  <c r="Q90" i="25"/>
  <c r="R90" i="25"/>
  <c r="R82" i="25"/>
  <c r="O83" i="25"/>
  <c r="S90" i="25"/>
  <c r="O94" i="25"/>
  <c r="Q83" i="25"/>
  <c r="R86" i="25"/>
  <c r="N88" i="25"/>
  <c r="Q91" i="25"/>
  <c r="R94" i="25"/>
  <c r="O87" i="25"/>
  <c r="Q88" i="25"/>
  <c r="O95" i="25"/>
  <c r="N87" i="25"/>
  <c r="P87" i="25"/>
  <c r="S88" i="25"/>
  <c r="P95" i="25"/>
  <c r="P88" i="25"/>
  <c r="R87" i="25"/>
  <c r="R95" i="25"/>
  <c r="N95" i="25"/>
  <c r="Q81" i="25"/>
  <c r="N83" i="25"/>
  <c r="N86" i="25"/>
  <c r="S87" i="25"/>
  <c r="Q89" i="25"/>
  <c r="N91" i="25"/>
  <c r="N94" i="25"/>
  <c r="S95" i="25"/>
  <c r="N93" i="25"/>
  <c r="S81" i="25"/>
  <c r="N84" i="25"/>
  <c r="O85" i="25"/>
  <c r="P86" i="25"/>
  <c r="S89" i="25"/>
  <c r="N92" i="25"/>
  <c r="O93" i="25"/>
  <c r="P94" i="25"/>
  <c r="S136" i="25"/>
  <c r="N85" i="25"/>
  <c r="R136" i="25"/>
  <c r="O84" i="25"/>
  <c r="P85" i="25"/>
  <c r="Q86" i="25"/>
  <c r="O92" i="25"/>
  <c r="P93" i="25"/>
  <c r="Q94" i="25"/>
  <c r="Q85" i="25"/>
  <c r="P92" i="25"/>
  <c r="N81" i="25"/>
  <c r="O82" i="25"/>
  <c r="Q84" i="25"/>
  <c r="R85" i="25"/>
  <c r="N89" i="25"/>
  <c r="O90" i="25"/>
  <c r="Q92" i="25"/>
  <c r="R93" i="25"/>
  <c r="N136" i="25"/>
  <c r="O137" i="25"/>
  <c r="P138" i="25"/>
  <c r="P84" i="25"/>
  <c r="O81" i="25"/>
  <c r="R84" i="25"/>
  <c r="O89" i="25"/>
  <c r="R92" i="25"/>
  <c r="S93" i="25"/>
  <c r="O136" i="25"/>
  <c r="P137" i="25"/>
  <c r="K56" i="24"/>
  <c r="K127" i="24"/>
  <c r="L62" i="24"/>
  <c r="M62" i="24"/>
  <c r="N135" i="24"/>
  <c r="Q135" i="24"/>
  <c r="N137" i="24"/>
  <c r="AQ12" i="24"/>
  <c r="R137" i="24"/>
  <c r="S137" i="24"/>
  <c r="P135" i="24"/>
  <c r="O138" i="24"/>
  <c r="P137" i="24"/>
  <c r="R136" i="24"/>
  <c r="Q138" i="24"/>
  <c r="S138" i="24"/>
  <c r="P95" i="24"/>
  <c r="N82" i="24"/>
  <c r="O91" i="24"/>
  <c r="S91" i="24"/>
  <c r="S87" i="24"/>
  <c r="N86" i="24"/>
  <c r="O95" i="24"/>
  <c r="O82" i="24"/>
  <c r="P86" i="24"/>
  <c r="Q82" i="24"/>
  <c r="N87" i="24"/>
  <c r="R93" i="24"/>
  <c r="N92" i="24"/>
  <c r="R82" i="24"/>
  <c r="R86" i="24"/>
  <c r="N89" i="24"/>
  <c r="P92" i="24"/>
  <c r="Q95" i="24"/>
  <c r="S82" i="24"/>
  <c r="S86" i="24"/>
  <c r="Q92" i="24"/>
  <c r="O87" i="24"/>
  <c r="P91" i="24"/>
  <c r="N81" i="24"/>
  <c r="P83" i="24"/>
  <c r="P87" i="24"/>
  <c r="O90" i="24"/>
  <c r="P94" i="24"/>
  <c r="S95" i="24"/>
  <c r="R85" i="24"/>
  <c r="N90" i="24"/>
  <c r="N94" i="24"/>
  <c r="S83" i="24"/>
  <c r="Q87" i="24"/>
  <c r="Q90" i="24"/>
  <c r="R94" i="24"/>
  <c r="R90" i="24"/>
  <c r="S94" i="24"/>
  <c r="N84" i="24"/>
  <c r="S90" i="24"/>
  <c r="P84" i="24"/>
  <c r="N95" i="24"/>
  <c r="O83" i="24"/>
  <c r="Q84" i="24"/>
  <c r="L64" i="24"/>
  <c r="O81" i="24"/>
  <c r="Q83" i="24"/>
  <c r="R84" i="24"/>
  <c r="S85" i="24"/>
  <c r="N88" i="24"/>
  <c r="O89" i="24"/>
  <c r="Q91" i="24"/>
  <c r="R92" i="24"/>
  <c r="S93" i="24"/>
  <c r="R135" i="24"/>
  <c r="S136" i="24"/>
  <c r="P81" i="24"/>
  <c r="R83" i="24"/>
  <c r="S84" i="24"/>
  <c r="O88" i="24"/>
  <c r="P89" i="24"/>
  <c r="R91" i="24"/>
  <c r="S92" i="24"/>
  <c r="S135" i="24"/>
  <c r="N138" i="24"/>
  <c r="Q81" i="24"/>
  <c r="P88" i="24"/>
  <c r="Q89" i="24"/>
  <c r="R81" i="24"/>
  <c r="N85" i="24"/>
  <c r="O86" i="24"/>
  <c r="Q88" i="24"/>
  <c r="R89" i="24"/>
  <c r="N93" i="24"/>
  <c r="O94" i="24"/>
  <c r="N136" i="24"/>
  <c r="P138" i="24"/>
  <c r="O85" i="24"/>
  <c r="R88" i="24"/>
  <c r="O93" i="24"/>
  <c r="O136" i="24"/>
  <c r="P85" i="24"/>
  <c r="P93" i="24"/>
  <c r="P136" i="24"/>
  <c r="O5" i="4"/>
  <c r="N5" i="4"/>
  <c r="W61" i="17"/>
  <c r="P6" i="4"/>
  <c r="Q6" i="4" s="1"/>
  <c r="I208" i="17"/>
  <c r="C72" i="4" s="1"/>
  <c r="I204" i="17"/>
  <c r="C58" i="4" s="1"/>
  <c r="C71" i="4"/>
  <c r="C70" i="4"/>
  <c r="C69" i="4"/>
  <c r="C57" i="4"/>
  <c r="C56" i="4"/>
  <c r="C55" i="4"/>
  <c r="D36" i="29" l="1"/>
  <c r="N36" i="29"/>
  <c r="AP41" i="30"/>
  <c r="K48" i="30"/>
  <c r="J48" i="30"/>
  <c r="AO39" i="29"/>
  <c r="K44" i="29"/>
  <c r="L63" i="24"/>
  <c r="M63" i="24"/>
  <c r="D73" i="24"/>
  <c r="H73" i="24"/>
  <c r="Q37" i="24"/>
  <c r="E111" i="25"/>
  <c r="D111" i="25" s="1"/>
  <c r="AN8" i="25" s="1"/>
  <c r="AN9" i="25" s="1"/>
  <c r="AN10" i="25" s="1"/>
  <c r="K119" i="25"/>
  <c r="K127" i="25"/>
  <c r="N113" i="30"/>
  <c r="E23" i="31"/>
  <c r="O37" i="24"/>
  <c r="H76" i="24"/>
  <c r="AH8" i="25"/>
  <c r="N37" i="24"/>
  <c r="K128" i="25"/>
  <c r="F16" i="26"/>
  <c r="D63" i="24"/>
  <c r="E44" i="24" s="1"/>
  <c r="N113" i="29"/>
  <c r="D23" i="31"/>
  <c r="W58" i="17"/>
  <c r="W57" i="17" s="1"/>
  <c r="K64" i="24"/>
  <c r="J119" i="25"/>
  <c r="J56" i="30"/>
  <c r="J44" i="29"/>
  <c r="E52" i="28"/>
  <c r="D52" i="28" s="1"/>
  <c r="J52" i="28" s="1"/>
  <c r="E25" i="25"/>
  <c r="D25" i="25" s="1"/>
  <c r="O25" i="25" s="1"/>
  <c r="L69" i="25"/>
  <c r="J44" i="25"/>
  <c r="D70" i="25"/>
  <c r="E51" i="25" s="1"/>
  <c r="K44" i="25"/>
  <c r="K69" i="25"/>
  <c r="D69" i="25"/>
  <c r="L127" i="25"/>
  <c r="M128" i="25"/>
  <c r="H48" i="31"/>
  <c r="L48" i="31" s="1"/>
  <c r="H47" i="31"/>
  <c r="L47" i="31" s="1"/>
  <c r="H45" i="31"/>
  <c r="L45" i="31" s="1"/>
  <c r="H44" i="31"/>
  <c r="L44" i="31" s="1"/>
  <c r="H43" i="31"/>
  <c r="H42" i="31"/>
  <c r="L42" i="31" s="1"/>
  <c r="H41" i="31"/>
  <c r="L41" i="31" s="1"/>
  <c r="H40" i="31"/>
  <c r="H39" i="31"/>
  <c r="L39" i="31" s="1"/>
  <c r="H38" i="31"/>
  <c r="H37" i="31"/>
  <c r="H36" i="31"/>
  <c r="H35" i="31"/>
  <c r="H34" i="31"/>
  <c r="L34" i="31" s="1"/>
  <c r="J53" i="31"/>
  <c r="K53" i="31"/>
  <c r="L55" i="31"/>
  <c r="K55" i="31"/>
  <c r="J55" i="31"/>
  <c r="H52" i="31"/>
  <c r="L52" i="31" s="1"/>
  <c r="N111" i="25"/>
  <c r="AQ58" i="25"/>
  <c r="R25" i="25"/>
  <c r="AN39" i="25"/>
  <c r="AQ67" i="25"/>
  <c r="AJ42" i="25"/>
  <c r="AJ43" i="25" s="1"/>
  <c r="AQ43" i="25"/>
  <c r="AQ76" i="25"/>
  <c r="AQ52" i="25"/>
  <c r="AQ46" i="25"/>
  <c r="AJ45" i="25"/>
  <c r="AJ46" i="25" s="1"/>
  <c r="AQ61" i="25"/>
  <c r="AQ37" i="25"/>
  <c r="K68" i="25"/>
  <c r="AP40" i="25"/>
  <c r="AP41" i="25" s="1"/>
  <c r="E50" i="25"/>
  <c r="D50" i="25" s="1"/>
  <c r="AO57" i="25" s="1"/>
  <c r="AP57" i="25"/>
  <c r="L68" i="25"/>
  <c r="D68" i="25"/>
  <c r="E57" i="25"/>
  <c r="D57" i="25" s="1"/>
  <c r="AP78" i="25"/>
  <c r="AQ79" i="25"/>
  <c r="AQ55" i="25"/>
  <c r="AJ54" i="25"/>
  <c r="AJ55" i="25" s="1"/>
  <c r="AQ70" i="25"/>
  <c r="AQ64" i="25"/>
  <c r="AQ40" i="25"/>
  <c r="AQ41" i="25" s="1"/>
  <c r="AJ72" i="25"/>
  <c r="AJ73" i="25" s="1"/>
  <c r="AQ73" i="25"/>
  <c r="AQ49" i="25"/>
  <c r="AO40" i="25"/>
  <c r="K130" i="24"/>
  <c r="H128" i="24"/>
  <c r="D128" i="24"/>
  <c r="E57" i="24"/>
  <c r="D57" i="24" s="1"/>
  <c r="E38" i="24" s="1"/>
  <c r="AP78" i="24"/>
  <c r="AQ79" i="24"/>
  <c r="R37" i="24"/>
  <c r="F16" i="31"/>
  <c r="AN75" i="24"/>
  <c r="AQ77" i="24"/>
  <c r="AP76" i="24"/>
  <c r="AO76" i="24"/>
  <c r="M74" i="24"/>
  <c r="L74" i="24"/>
  <c r="AP73" i="24"/>
  <c r="M72" i="24"/>
  <c r="L72" i="24"/>
  <c r="E53" i="24"/>
  <c r="D53" i="24" s="1"/>
  <c r="AP66" i="24"/>
  <c r="AQ64" i="24"/>
  <c r="E52" i="24"/>
  <c r="AP63" i="24"/>
  <c r="AQ61" i="24"/>
  <c r="AJ60" i="24"/>
  <c r="AJ61" i="24" s="1"/>
  <c r="AJ62" i="24" s="1"/>
  <c r="AQ58" i="24"/>
  <c r="L68" i="24"/>
  <c r="AQ55" i="24"/>
  <c r="K68" i="24"/>
  <c r="E49" i="24"/>
  <c r="D49" i="24" s="1"/>
  <c r="E30" i="24" s="1"/>
  <c r="AP54" i="24"/>
  <c r="AQ52" i="24"/>
  <c r="E48" i="24"/>
  <c r="D48" i="24" s="1"/>
  <c r="AP51" i="24"/>
  <c r="H66" i="24"/>
  <c r="D66" i="24"/>
  <c r="D65" i="24"/>
  <c r="H65" i="24"/>
  <c r="E45" i="24"/>
  <c r="D45" i="24" s="1"/>
  <c r="AO42" i="24" s="1"/>
  <c r="AP42" i="24"/>
  <c r="AP39" i="24"/>
  <c r="AQ40" i="24"/>
  <c r="E43" i="24"/>
  <c r="AP36" i="24"/>
  <c r="AQ37" i="24"/>
  <c r="L68" i="28"/>
  <c r="M68" i="28"/>
  <c r="K128" i="28"/>
  <c r="L128" i="28"/>
  <c r="AP57" i="28"/>
  <c r="AI57" i="28" s="1"/>
  <c r="AP40" i="29"/>
  <c r="AO11" i="29"/>
  <c r="K120" i="29"/>
  <c r="E112" i="29"/>
  <c r="E29" i="30"/>
  <c r="D29" i="30" s="1"/>
  <c r="AP15" i="30"/>
  <c r="AI14" i="30"/>
  <c r="D122" i="30"/>
  <c r="J122" i="30" s="1"/>
  <c r="AO11" i="30"/>
  <c r="E112" i="30"/>
  <c r="K120" i="30"/>
  <c r="D46" i="30"/>
  <c r="J46" i="30"/>
  <c r="AP46" i="30"/>
  <c r="E36" i="30"/>
  <c r="AO72" i="30"/>
  <c r="K55" i="30"/>
  <c r="AP52" i="30"/>
  <c r="E38" i="30"/>
  <c r="D38" i="30" s="1"/>
  <c r="E17" i="31" s="1"/>
  <c r="K57" i="30"/>
  <c r="AO78" i="30"/>
  <c r="E29" i="29"/>
  <c r="AO51" i="29"/>
  <c r="K48" i="29"/>
  <c r="AO79" i="29"/>
  <c r="D38" i="29"/>
  <c r="D17" i="31" s="1"/>
  <c r="O113" i="30"/>
  <c r="S113" i="30"/>
  <c r="R113" i="30"/>
  <c r="Q113" i="30"/>
  <c r="P113" i="30"/>
  <c r="AN5" i="30"/>
  <c r="AO7" i="30" s="1"/>
  <c r="K54" i="30"/>
  <c r="AO69" i="30"/>
  <c r="E35" i="30"/>
  <c r="D24" i="30"/>
  <c r="AO60" i="30"/>
  <c r="K51" i="30"/>
  <c r="E32" i="30"/>
  <c r="AO37" i="30"/>
  <c r="D119" i="30"/>
  <c r="J119" i="30" s="1"/>
  <c r="D53" i="30"/>
  <c r="J53" i="30" s="1"/>
  <c r="AP58" i="30"/>
  <c r="AP67" i="30"/>
  <c r="D50" i="30"/>
  <c r="J50" i="30" s="1"/>
  <c r="AO52" i="30"/>
  <c r="AH51" i="30"/>
  <c r="AO63" i="30"/>
  <c r="K52" i="30"/>
  <c r="E33" i="30"/>
  <c r="AO48" i="30"/>
  <c r="E28" i="30"/>
  <c r="K47" i="30"/>
  <c r="AO75" i="30"/>
  <c r="K56" i="30"/>
  <c r="E37" i="30"/>
  <c r="K45" i="30"/>
  <c r="E26" i="30"/>
  <c r="AO42" i="30"/>
  <c r="J47" i="30"/>
  <c r="E30" i="30"/>
  <c r="AO54" i="30"/>
  <c r="K49" i="30"/>
  <c r="AP9" i="30"/>
  <c r="AN40" i="30"/>
  <c r="AN41" i="30" s="1"/>
  <c r="AQ41" i="30"/>
  <c r="J45" i="30"/>
  <c r="AO60" i="29"/>
  <c r="K51" i="29"/>
  <c r="E32" i="29"/>
  <c r="K45" i="29"/>
  <c r="E26" i="29"/>
  <c r="AO42" i="29"/>
  <c r="AO46" i="29"/>
  <c r="K43" i="29"/>
  <c r="E24" i="29"/>
  <c r="AO36" i="29"/>
  <c r="J45" i="29"/>
  <c r="D53" i="29"/>
  <c r="J53" i="29" s="1"/>
  <c r="D27" i="29"/>
  <c r="D6" i="31" s="1"/>
  <c r="D50" i="29"/>
  <c r="J50" i="29" s="1"/>
  <c r="E37" i="29"/>
  <c r="K56" i="29"/>
  <c r="AO75" i="29"/>
  <c r="AO63" i="29"/>
  <c r="K52" i="29"/>
  <c r="E33" i="29"/>
  <c r="K122" i="29"/>
  <c r="AO14" i="29"/>
  <c r="E114" i="29"/>
  <c r="AO54" i="29"/>
  <c r="K49" i="29"/>
  <c r="E30" i="29"/>
  <c r="AP58" i="29"/>
  <c r="S113" i="29"/>
  <c r="R113" i="29"/>
  <c r="Q113" i="29"/>
  <c r="P113" i="29"/>
  <c r="O113" i="29"/>
  <c r="AN5" i="29"/>
  <c r="J49" i="29"/>
  <c r="K47" i="29"/>
  <c r="AO48" i="29"/>
  <c r="E28" i="29"/>
  <c r="D25" i="29"/>
  <c r="D4" i="31" s="1"/>
  <c r="K54" i="29"/>
  <c r="AO69" i="29"/>
  <c r="E35" i="29"/>
  <c r="AO40" i="29"/>
  <c r="AI66" i="29"/>
  <c r="AP67" i="29"/>
  <c r="J54" i="29"/>
  <c r="E111" i="29"/>
  <c r="K119" i="29"/>
  <c r="AO8" i="29"/>
  <c r="M130" i="28"/>
  <c r="L130" i="28"/>
  <c r="K130" i="28"/>
  <c r="E122" i="28"/>
  <c r="AP14" i="28"/>
  <c r="E32" i="28"/>
  <c r="D32" i="28" s="1"/>
  <c r="E11" i="26" s="1"/>
  <c r="AO60" i="28"/>
  <c r="K51" i="28"/>
  <c r="M74" i="28"/>
  <c r="L74" i="28"/>
  <c r="E48" i="28"/>
  <c r="AP51" i="28"/>
  <c r="L67" i="28"/>
  <c r="M67" i="28"/>
  <c r="K67" i="28"/>
  <c r="AP72" i="28"/>
  <c r="E55" i="28"/>
  <c r="D55" i="28" s="1"/>
  <c r="AP61" i="28"/>
  <c r="AI60" i="28"/>
  <c r="K74" i="28"/>
  <c r="AP70" i="28"/>
  <c r="D49" i="28"/>
  <c r="J49" i="28" s="1"/>
  <c r="AP64" i="28"/>
  <c r="D45" i="28"/>
  <c r="J45" i="28" s="1"/>
  <c r="AI39" i="28"/>
  <c r="AP40" i="28"/>
  <c r="AO61" i="28"/>
  <c r="AO12" i="28"/>
  <c r="E46" i="28"/>
  <c r="AP45" i="28"/>
  <c r="D54" i="28"/>
  <c r="AI54" i="28"/>
  <c r="AP55" i="28"/>
  <c r="D112" i="28"/>
  <c r="AP66" i="28"/>
  <c r="E53" i="28"/>
  <c r="AO78" i="28"/>
  <c r="E38" i="28"/>
  <c r="K57" i="28"/>
  <c r="AI36" i="28"/>
  <c r="AP37" i="28"/>
  <c r="M127" i="28"/>
  <c r="L127" i="28"/>
  <c r="D56" i="28"/>
  <c r="J56" i="28" s="1"/>
  <c r="E121" i="28"/>
  <c r="AP5" i="28"/>
  <c r="J57" i="28"/>
  <c r="D47" i="28"/>
  <c r="D44" i="28"/>
  <c r="J44" i="28" s="1"/>
  <c r="L65" i="28"/>
  <c r="M65" i="28"/>
  <c r="D43" i="28"/>
  <c r="J43" i="28" s="1"/>
  <c r="E119" i="28"/>
  <c r="AP8" i="28"/>
  <c r="D50" i="28"/>
  <c r="J50" i="28" s="1"/>
  <c r="AI75" i="28"/>
  <c r="AP76" i="28"/>
  <c r="M129" i="28"/>
  <c r="L129" i="28"/>
  <c r="AP49" i="28"/>
  <c r="AP43" i="28"/>
  <c r="K129" i="28"/>
  <c r="M72" i="28"/>
  <c r="L72" i="28"/>
  <c r="K57" i="25"/>
  <c r="D62" i="25"/>
  <c r="H62" i="25"/>
  <c r="J57" i="25"/>
  <c r="E122" i="25"/>
  <c r="AP14" i="25"/>
  <c r="L70" i="25"/>
  <c r="L63" i="25"/>
  <c r="M63" i="25"/>
  <c r="Q25" i="25"/>
  <c r="K70" i="25"/>
  <c r="N25" i="25"/>
  <c r="AQ12" i="25"/>
  <c r="D4" i="26"/>
  <c r="H76" i="25"/>
  <c r="H130" i="25"/>
  <c r="M130" i="25" s="1"/>
  <c r="P25" i="25"/>
  <c r="AQ15" i="25"/>
  <c r="E120" i="25"/>
  <c r="AP11" i="25"/>
  <c r="AI11" i="25" s="1"/>
  <c r="J45" i="24"/>
  <c r="E26" i="24"/>
  <c r="D26" i="24" s="1"/>
  <c r="S26" i="24" s="1"/>
  <c r="M130" i="24"/>
  <c r="J122" i="24"/>
  <c r="AO14" i="24"/>
  <c r="AH14" i="24" s="1"/>
  <c r="E114" i="24"/>
  <c r="K45" i="24"/>
  <c r="K129" i="24"/>
  <c r="K75" i="24"/>
  <c r="L75" i="24"/>
  <c r="K71" i="24"/>
  <c r="K122" i="24"/>
  <c r="J48" i="24"/>
  <c r="E29" i="24"/>
  <c r="M71" i="24"/>
  <c r="M129" i="24"/>
  <c r="H69" i="24"/>
  <c r="D69" i="24"/>
  <c r="K119" i="24"/>
  <c r="AO8" i="24"/>
  <c r="AH8" i="24" s="1"/>
  <c r="E111" i="24"/>
  <c r="J119" i="24"/>
  <c r="K63" i="24"/>
  <c r="AF8" i="24"/>
  <c r="P103" i="24"/>
  <c r="O103" i="24"/>
  <c r="Q103" i="24"/>
  <c r="N103" i="24"/>
  <c r="H75" i="25"/>
  <c r="D75" i="25"/>
  <c r="H73" i="25"/>
  <c r="D73" i="25"/>
  <c r="H72" i="25"/>
  <c r="D72" i="25"/>
  <c r="D71" i="25"/>
  <c r="H71" i="25"/>
  <c r="H67" i="25"/>
  <c r="D67" i="25"/>
  <c r="H66" i="25"/>
  <c r="D66" i="25"/>
  <c r="H65" i="25"/>
  <c r="D65" i="25"/>
  <c r="H64" i="25"/>
  <c r="D64" i="25"/>
  <c r="S25" i="25"/>
  <c r="H129" i="25"/>
  <c r="D129" i="25"/>
  <c r="D129" i="24"/>
  <c r="E55" i="24"/>
  <c r="F52" i="26"/>
  <c r="Q26" i="24"/>
  <c r="P26" i="24"/>
  <c r="F5" i="26"/>
  <c r="D70" i="24"/>
  <c r="H70" i="24"/>
  <c r="K72" i="24"/>
  <c r="AP9" i="24"/>
  <c r="AQ9" i="25"/>
  <c r="H74" i="25"/>
  <c r="K74" i="25" s="1"/>
  <c r="D74" i="25"/>
  <c r="AQ15" i="24"/>
  <c r="C39" i="4"/>
  <c r="C47" i="4" s="1"/>
  <c r="AJ14" i="25" s="1"/>
  <c r="AJ15" i="25" s="1"/>
  <c r="D15" i="31" l="1"/>
  <c r="R36" i="29"/>
  <c r="Q36" i="29"/>
  <c r="P36" i="29"/>
  <c r="O36" i="29"/>
  <c r="AN72" i="29"/>
  <c r="S36" i="29"/>
  <c r="N38" i="29"/>
  <c r="P111" i="25"/>
  <c r="M76" i="24"/>
  <c r="L76" i="24"/>
  <c r="AI72" i="24"/>
  <c r="AJ39" i="25"/>
  <c r="AJ40" i="25" s="1"/>
  <c r="AJ78" i="25"/>
  <c r="AJ79" i="25" s="1"/>
  <c r="AJ66" i="25"/>
  <c r="AJ67" i="25" s="1"/>
  <c r="S111" i="25"/>
  <c r="AQ10" i="25"/>
  <c r="AI63" i="28"/>
  <c r="AI64" i="28" s="1"/>
  <c r="AI65" i="28" s="1"/>
  <c r="AI57" i="29"/>
  <c r="AH36" i="30"/>
  <c r="AI39" i="25"/>
  <c r="AI14" i="24"/>
  <c r="AP12" i="25"/>
  <c r="J49" i="24"/>
  <c r="AI48" i="28"/>
  <c r="N27" i="29"/>
  <c r="AI66" i="30"/>
  <c r="AH78" i="29"/>
  <c r="AI51" i="30"/>
  <c r="AJ54" i="24"/>
  <c r="AJ55" i="24" s="1"/>
  <c r="AJ56" i="24" s="1"/>
  <c r="AJ63" i="24"/>
  <c r="AJ64" i="24" s="1"/>
  <c r="AJ65" i="24" s="1"/>
  <c r="AO41" i="25"/>
  <c r="AJ63" i="25"/>
  <c r="AJ64" i="25" s="1"/>
  <c r="AJ51" i="25"/>
  <c r="AJ52" i="25" s="1"/>
  <c r="D21" i="26"/>
  <c r="AJ8" i="25"/>
  <c r="AJ9" i="25" s="1"/>
  <c r="AH15" i="24"/>
  <c r="AH16" i="24" s="1"/>
  <c r="J50" i="25"/>
  <c r="N29" i="30"/>
  <c r="E8" i="31"/>
  <c r="AI8" i="25"/>
  <c r="L73" i="24"/>
  <c r="M73" i="24"/>
  <c r="K73" i="24"/>
  <c r="J57" i="24"/>
  <c r="O111" i="25"/>
  <c r="E54" i="24"/>
  <c r="AP69" i="24"/>
  <c r="N26" i="24"/>
  <c r="E31" i="25"/>
  <c r="AH11" i="28"/>
  <c r="AH60" i="28"/>
  <c r="AG39" i="30"/>
  <c r="AO77" i="24"/>
  <c r="AH39" i="25"/>
  <c r="AH40" i="25" s="1"/>
  <c r="AJ36" i="25"/>
  <c r="AJ37" i="25" s="1"/>
  <c r="AJ11" i="25"/>
  <c r="AJ12" i="25" s="1"/>
  <c r="K76" i="24"/>
  <c r="N24" i="30"/>
  <c r="E3" i="31"/>
  <c r="AO9" i="24"/>
  <c r="AI42" i="28"/>
  <c r="AH45" i="29"/>
  <c r="AJ39" i="24"/>
  <c r="AJ40" i="24" s="1"/>
  <c r="AJ41" i="24" s="1"/>
  <c r="K50" i="25"/>
  <c r="AI69" i="28"/>
  <c r="AI8" i="30"/>
  <c r="AI57" i="30"/>
  <c r="AJ36" i="24"/>
  <c r="AJ37" i="24" s="1"/>
  <c r="AJ38" i="24" s="1"/>
  <c r="AJ51" i="24"/>
  <c r="AJ52" i="24" s="1"/>
  <c r="AJ53" i="24" s="1"/>
  <c r="AJ57" i="24"/>
  <c r="AJ58" i="24" s="1"/>
  <c r="AJ59" i="24" s="1"/>
  <c r="AH75" i="24"/>
  <c r="AJ78" i="24"/>
  <c r="AJ79" i="24" s="1"/>
  <c r="AJ80" i="24" s="1"/>
  <c r="AJ75" i="25"/>
  <c r="AJ76" i="25" s="1"/>
  <c r="AJ57" i="25"/>
  <c r="AJ58" i="25" s="1"/>
  <c r="Q111" i="25"/>
  <c r="AG8" i="25"/>
  <c r="AG9" i="25" s="1"/>
  <c r="AJ57" i="30"/>
  <c r="AJ58" i="30" s="1"/>
  <c r="AJ59" i="30" s="1"/>
  <c r="AJ8" i="30"/>
  <c r="AJ9" i="30" s="1"/>
  <c r="AJ10" i="30" s="1"/>
  <c r="AI45" i="29"/>
  <c r="C101" i="5"/>
  <c r="AJ39" i="29"/>
  <c r="AJ40" i="29" s="1"/>
  <c r="AJ41" i="29" s="1"/>
  <c r="AJ54" i="30"/>
  <c r="AJ55" i="30" s="1"/>
  <c r="AJ56" i="30" s="1"/>
  <c r="AJ51" i="30"/>
  <c r="AJ52" i="30" s="1"/>
  <c r="AJ53" i="30" s="1"/>
  <c r="AJ11" i="29"/>
  <c r="AJ12" i="29" s="1"/>
  <c r="AJ13" i="29" s="1"/>
  <c r="AJ78" i="29"/>
  <c r="AJ79" i="29" s="1"/>
  <c r="AJ80" i="29" s="1"/>
  <c r="AJ72" i="30"/>
  <c r="AJ73" i="30" s="1"/>
  <c r="AJ74" i="30" s="1"/>
  <c r="AJ51" i="29"/>
  <c r="AJ52" i="29" s="1"/>
  <c r="AJ53" i="29" s="1"/>
  <c r="AJ36" i="30"/>
  <c r="AJ37" i="30" s="1"/>
  <c r="AJ38" i="30" s="1"/>
  <c r="AJ14" i="29"/>
  <c r="AJ15" i="29" s="1"/>
  <c r="AJ16" i="29" s="1"/>
  <c r="AI78" i="29"/>
  <c r="AJ60" i="30"/>
  <c r="AJ61" i="30" s="1"/>
  <c r="AJ62" i="30" s="1"/>
  <c r="AJ14" i="30"/>
  <c r="AJ15" i="30" s="1"/>
  <c r="AJ16" i="30" s="1"/>
  <c r="AJ8" i="29"/>
  <c r="AJ9" i="29" s="1"/>
  <c r="AJ10" i="29" s="1"/>
  <c r="AJ48" i="30"/>
  <c r="AJ49" i="30" s="1"/>
  <c r="AJ50" i="30" s="1"/>
  <c r="AJ63" i="29"/>
  <c r="AJ64" i="29" s="1"/>
  <c r="AJ65" i="29" s="1"/>
  <c r="AJ60" i="29"/>
  <c r="AJ61" i="29" s="1"/>
  <c r="AJ62" i="29" s="1"/>
  <c r="AJ54" i="29"/>
  <c r="AJ55" i="29" s="1"/>
  <c r="AJ56" i="29" s="1"/>
  <c r="AI36" i="30"/>
  <c r="AJ66" i="29"/>
  <c r="AJ67" i="29" s="1"/>
  <c r="AJ68" i="29" s="1"/>
  <c r="AJ48" i="29"/>
  <c r="AJ49" i="29" s="1"/>
  <c r="AJ50" i="29" s="1"/>
  <c r="AJ75" i="29"/>
  <c r="AJ76" i="29" s="1"/>
  <c r="AJ77" i="29" s="1"/>
  <c r="AJ57" i="29"/>
  <c r="AJ58" i="29" s="1"/>
  <c r="AJ59" i="29" s="1"/>
  <c r="AJ78" i="28"/>
  <c r="AJ79" i="28" s="1"/>
  <c r="AJ80" i="28" s="1"/>
  <c r="AJ45" i="30"/>
  <c r="AJ46" i="30" s="1"/>
  <c r="AJ47" i="30" s="1"/>
  <c r="AJ5" i="30"/>
  <c r="AJ6" i="30" s="1"/>
  <c r="AJ7" i="30" s="1"/>
  <c r="AJ39" i="30"/>
  <c r="AJ40" i="30" s="1"/>
  <c r="AJ41" i="30" s="1"/>
  <c r="AJ72" i="29"/>
  <c r="AJ73" i="29" s="1"/>
  <c r="AJ74" i="29" s="1"/>
  <c r="AI39" i="30"/>
  <c r="AJ8" i="28"/>
  <c r="AJ9" i="28" s="1"/>
  <c r="AJ10" i="28" s="1"/>
  <c r="AJ11" i="30"/>
  <c r="AJ12" i="30" s="1"/>
  <c r="AJ13" i="30" s="1"/>
  <c r="AJ5" i="29"/>
  <c r="AJ6" i="29" s="1"/>
  <c r="AJ7" i="29" s="1"/>
  <c r="AI72" i="29"/>
  <c r="AH39" i="30"/>
  <c r="AJ42" i="29"/>
  <c r="AJ43" i="29" s="1"/>
  <c r="AJ44" i="29" s="1"/>
  <c r="AJ51" i="28"/>
  <c r="AJ52" i="28" s="1"/>
  <c r="AJ53" i="28" s="1"/>
  <c r="AJ75" i="30"/>
  <c r="AJ76" i="30" s="1"/>
  <c r="AJ77" i="30" s="1"/>
  <c r="AJ45" i="29"/>
  <c r="AJ46" i="29" s="1"/>
  <c r="AJ47" i="29" s="1"/>
  <c r="AJ69" i="30"/>
  <c r="AJ70" i="30" s="1"/>
  <c r="AJ71" i="30" s="1"/>
  <c r="AI5" i="29"/>
  <c r="AI6" i="29" s="1"/>
  <c r="AI7" i="29" s="1"/>
  <c r="AJ78" i="30"/>
  <c r="AJ79" i="30" s="1"/>
  <c r="AJ80" i="30" s="1"/>
  <c r="AJ42" i="30"/>
  <c r="AJ43" i="30" s="1"/>
  <c r="AJ44" i="30" s="1"/>
  <c r="AJ36" i="29"/>
  <c r="AJ37" i="29" s="1"/>
  <c r="AJ38" i="29" s="1"/>
  <c r="AJ66" i="30"/>
  <c r="AJ67" i="30" s="1"/>
  <c r="AJ68" i="30" s="1"/>
  <c r="AJ69" i="29"/>
  <c r="AJ70" i="29" s="1"/>
  <c r="AJ71" i="29" s="1"/>
  <c r="AJ66" i="28"/>
  <c r="AJ67" i="28" s="1"/>
  <c r="AJ68" i="28" s="1"/>
  <c r="AJ63" i="30"/>
  <c r="AJ64" i="30" s="1"/>
  <c r="AJ65" i="30" s="1"/>
  <c r="AJ5" i="25"/>
  <c r="AJ6" i="25" s="1"/>
  <c r="AJ8" i="24"/>
  <c r="AJ9" i="24" s="1"/>
  <c r="AJ10" i="24" s="1"/>
  <c r="AI5" i="30"/>
  <c r="AI6" i="30" s="1"/>
  <c r="AI7" i="30" s="1"/>
  <c r="AJ72" i="24"/>
  <c r="AJ73" i="24" s="1"/>
  <c r="AJ45" i="24"/>
  <c r="AJ46" i="24" s="1"/>
  <c r="AJ47" i="24" s="1"/>
  <c r="AJ5" i="28"/>
  <c r="AJ6" i="28" s="1"/>
  <c r="AJ7" i="28" s="1"/>
  <c r="AI11" i="30"/>
  <c r="AI42" i="30"/>
  <c r="AI69" i="30"/>
  <c r="AI36" i="29"/>
  <c r="AI37" i="29" s="1"/>
  <c r="AI38" i="29" s="1"/>
  <c r="AJ57" i="28"/>
  <c r="AJ58" i="28" s="1"/>
  <c r="AJ59" i="28" s="1"/>
  <c r="AJ39" i="28"/>
  <c r="AJ40" i="28" s="1"/>
  <c r="AJ41" i="28" s="1"/>
  <c r="AJ14" i="24"/>
  <c r="AJ15" i="24" s="1"/>
  <c r="AJ16" i="24" s="1"/>
  <c r="AI11" i="28"/>
  <c r="AI72" i="30"/>
  <c r="AI51" i="29"/>
  <c r="AH5" i="30"/>
  <c r="AJ75" i="28"/>
  <c r="AJ76" i="28" s="1"/>
  <c r="AJ77" i="28" s="1"/>
  <c r="AJ36" i="28"/>
  <c r="AJ37" i="28" s="1"/>
  <c r="AJ38" i="28" s="1"/>
  <c r="AJ63" i="28"/>
  <c r="AJ64" i="28" s="1"/>
  <c r="AJ65" i="28" s="1"/>
  <c r="AH72" i="29"/>
  <c r="AH73" i="29" s="1"/>
  <c r="AH74" i="29" s="1"/>
  <c r="AI63" i="29"/>
  <c r="AI8" i="29"/>
  <c r="AI9" i="29" s="1"/>
  <c r="AI10" i="29" s="1"/>
  <c r="AJ11" i="24"/>
  <c r="AJ12" i="24" s="1"/>
  <c r="AJ13" i="24" s="1"/>
  <c r="AJ42" i="28"/>
  <c r="AJ43" i="28" s="1"/>
  <c r="AJ44" i="28" s="1"/>
  <c r="AJ48" i="28"/>
  <c r="AJ49" i="28" s="1"/>
  <c r="AJ50" i="28" s="1"/>
  <c r="AI78" i="30"/>
  <c r="AI54" i="30"/>
  <c r="AI55" i="30" s="1"/>
  <c r="AI56" i="30" s="1"/>
  <c r="AH5" i="29"/>
  <c r="AI14" i="29"/>
  <c r="AJ5" i="24"/>
  <c r="AJ6" i="24" s="1"/>
  <c r="AI48" i="29"/>
  <c r="AI49" i="29" s="1"/>
  <c r="AI50" i="29" s="1"/>
  <c r="AJ11" i="28"/>
  <c r="AJ12" i="28" s="1"/>
  <c r="AJ13" i="28" s="1"/>
  <c r="AJ42" i="24"/>
  <c r="AJ43" i="24" s="1"/>
  <c r="AJ44" i="24" s="1"/>
  <c r="AI11" i="29"/>
  <c r="AI12" i="29" s="1"/>
  <c r="AI13" i="29" s="1"/>
  <c r="AI75" i="29"/>
  <c r="AJ60" i="28"/>
  <c r="AJ61" i="28" s="1"/>
  <c r="AJ62" i="28" s="1"/>
  <c r="AJ45" i="28"/>
  <c r="AJ46" i="28" s="1"/>
  <c r="AJ47" i="28" s="1"/>
  <c r="AJ54" i="28"/>
  <c r="AJ55" i="28" s="1"/>
  <c r="AJ56" i="28" s="1"/>
  <c r="AJ69" i="24"/>
  <c r="AJ70" i="24" s="1"/>
  <c r="AJ71" i="24" s="1"/>
  <c r="AJ48" i="24"/>
  <c r="AJ49" i="24" s="1"/>
  <c r="AJ50" i="24" s="1"/>
  <c r="AI75" i="30"/>
  <c r="AI42" i="29"/>
  <c r="AI43" i="29" s="1"/>
  <c r="AI44" i="29" s="1"/>
  <c r="AJ75" i="24"/>
  <c r="AJ76" i="24" s="1"/>
  <c r="AJ77" i="24" s="1"/>
  <c r="AI60" i="29"/>
  <c r="AI61" i="29" s="1"/>
  <c r="AI62" i="29" s="1"/>
  <c r="AJ14" i="28"/>
  <c r="AJ15" i="28" s="1"/>
  <c r="AJ16" i="28" s="1"/>
  <c r="AI63" i="30"/>
  <c r="AI60" i="30"/>
  <c r="AI69" i="29"/>
  <c r="AI70" i="29" s="1"/>
  <c r="AI71" i="29" s="1"/>
  <c r="AI78" i="28"/>
  <c r="AI79" i="28" s="1"/>
  <c r="AI80" i="28" s="1"/>
  <c r="AJ69" i="28"/>
  <c r="AJ70" i="28" s="1"/>
  <c r="AJ71" i="28" s="1"/>
  <c r="AI48" i="30"/>
  <c r="AI54" i="29"/>
  <c r="AJ72" i="28"/>
  <c r="AJ73" i="28" s="1"/>
  <c r="AJ74" i="28" s="1"/>
  <c r="AJ66" i="24"/>
  <c r="AJ67" i="24" s="1"/>
  <c r="AJ68" i="24" s="1"/>
  <c r="AH39" i="29"/>
  <c r="AH40" i="29" s="1"/>
  <c r="AH41" i="29" s="1"/>
  <c r="AI45" i="30"/>
  <c r="AI14" i="25"/>
  <c r="AI15" i="25" s="1"/>
  <c r="AI39" i="29"/>
  <c r="AI75" i="24"/>
  <c r="AI76" i="24" s="1"/>
  <c r="AI77" i="24" s="1"/>
  <c r="AJ48" i="25"/>
  <c r="AJ49" i="25" s="1"/>
  <c r="AJ69" i="25"/>
  <c r="AJ70" i="25" s="1"/>
  <c r="AJ60" i="25"/>
  <c r="AJ61" i="25" s="1"/>
  <c r="R111" i="25"/>
  <c r="AI8" i="24"/>
  <c r="AI9" i="24" s="1"/>
  <c r="D51" i="25"/>
  <c r="E32" i="25" s="1"/>
  <c r="D32" i="25" s="1"/>
  <c r="AN60" i="25" s="1"/>
  <c r="AP60" i="25"/>
  <c r="AI60" i="25" s="1"/>
  <c r="AI61" i="25" s="1"/>
  <c r="K48" i="31"/>
  <c r="J48" i="31"/>
  <c r="K47" i="31"/>
  <c r="J47" i="31"/>
  <c r="J45" i="31"/>
  <c r="K45" i="31"/>
  <c r="K44" i="31"/>
  <c r="J44" i="31"/>
  <c r="L43" i="31"/>
  <c r="K43" i="31"/>
  <c r="J43" i="31"/>
  <c r="J42" i="31"/>
  <c r="K42" i="31"/>
  <c r="K41" i="31"/>
  <c r="J41" i="31"/>
  <c r="L40" i="31"/>
  <c r="K40" i="31"/>
  <c r="J40" i="31"/>
  <c r="K39" i="31"/>
  <c r="J39" i="31"/>
  <c r="J38" i="31"/>
  <c r="K38" i="31"/>
  <c r="L38" i="31"/>
  <c r="L37" i="31"/>
  <c r="J37" i="31"/>
  <c r="K37" i="31"/>
  <c r="L36" i="31"/>
  <c r="K36" i="31"/>
  <c r="J36" i="31"/>
  <c r="L35" i="31"/>
  <c r="K35" i="31"/>
  <c r="J35" i="31"/>
  <c r="K34" i="31"/>
  <c r="J34" i="31"/>
  <c r="J52" i="31"/>
  <c r="K52" i="31"/>
  <c r="E49" i="25"/>
  <c r="AP54" i="25"/>
  <c r="E55" i="25"/>
  <c r="AP72" i="25"/>
  <c r="E45" i="25"/>
  <c r="D45" i="25" s="1"/>
  <c r="AO42" i="25" s="1"/>
  <c r="AP42" i="25"/>
  <c r="E47" i="25"/>
  <c r="D47" i="25" s="1"/>
  <c r="AO48" i="25" s="1"/>
  <c r="AP48" i="25"/>
  <c r="E53" i="25"/>
  <c r="AP66" i="25"/>
  <c r="E56" i="25"/>
  <c r="D56" i="25" s="1"/>
  <c r="AO75" i="25" s="1"/>
  <c r="AP75" i="25"/>
  <c r="E43" i="25"/>
  <c r="AP36" i="25"/>
  <c r="AI40" i="25"/>
  <c r="E52" i="25"/>
  <c r="D52" i="25" s="1"/>
  <c r="AP63" i="25"/>
  <c r="AP79" i="25"/>
  <c r="AI78" i="25"/>
  <c r="AI79" i="25" s="1"/>
  <c r="AI57" i="25"/>
  <c r="AP58" i="25"/>
  <c r="AG39" i="25"/>
  <c r="AN40" i="25"/>
  <c r="AN41" i="25" s="1"/>
  <c r="E46" i="25"/>
  <c r="D46" i="25" s="1"/>
  <c r="AO45" i="25" s="1"/>
  <c r="AP45" i="25"/>
  <c r="E48" i="25"/>
  <c r="D48" i="25" s="1"/>
  <c r="AP51" i="25"/>
  <c r="E54" i="25"/>
  <c r="D54" i="25" s="1"/>
  <c r="AO69" i="25" s="1"/>
  <c r="AP69" i="25"/>
  <c r="E38" i="25"/>
  <c r="AO78" i="25"/>
  <c r="AH57" i="25"/>
  <c r="AH58" i="25" s="1"/>
  <c r="AO58" i="25"/>
  <c r="AP61" i="25"/>
  <c r="AP11" i="24"/>
  <c r="E120" i="24"/>
  <c r="M128" i="24"/>
  <c r="K128" i="24"/>
  <c r="L128" i="24"/>
  <c r="AP79" i="24"/>
  <c r="AI78" i="24"/>
  <c r="AI79" i="24" s="1"/>
  <c r="AI80" i="24" s="1"/>
  <c r="AO78" i="24"/>
  <c r="K57" i="24"/>
  <c r="AN76" i="24"/>
  <c r="AN77" i="24" s="1"/>
  <c r="AG75" i="24"/>
  <c r="AP77" i="24"/>
  <c r="AO66" i="24"/>
  <c r="K53" i="24"/>
  <c r="E34" i="24"/>
  <c r="D34" i="24" s="1"/>
  <c r="J53" i="24"/>
  <c r="AP67" i="24"/>
  <c r="AI66" i="24"/>
  <c r="AI67" i="24" s="1"/>
  <c r="AI68" i="24" s="1"/>
  <c r="AP64" i="24"/>
  <c r="AI63" i="24"/>
  <c r="AI64" i="24" s="1"/>
  <c r="AI65" i="24" s="1"/>
  <c r="D52" i="24"/>
  <c r="J52" i="24"/>
  <c r="E51" i="24"/>
  <c r="D51" i="24" s="1"/>
  <c r="AO60" i="24" s="1"/>
  <c r="AP60" i="24"/>
  <c r="E50" i="24"/>
  <c r="D50" i="24" s="1"/>
  <c r="AO57" i="24" s="1"/>
  <c r="AP57" i="24"/>
  <c r="AP55" i="24"/>
  <c r="AI54" i="24"/>
  <c r="AI55" i="24" s="1"/>
  <c r="AI56" i="24" s="1"/>
  <c r="AO54" i="24"/>
  <c r="K49" i="24"/>
  <c r="AP52" i="24"/>
  <c r="AI51" i="24"/>
  <c r="AI52" i="24" s="1"/>
  <c r="AI53" i="24" s="1"/>
  <c r="AO51" i="24"/>
  <c r="K48" i="24"/>
  <c r="E47" i="24"/>
  <c r="AP48" i="24"/>
  <c r="M66" i="24"/>
  <c r="L66" i="24"/>
  <c r="K66" i="24"/>
  <c r="L65" i="24"/>
  <c r="M65" i="24"/>
  <c r="K65" i="24"/>
  <c r="E46" i="24"/>
  <c r="AP45" i="24"/>
  <c r="R26" i="24"/>
  <c r="F5" i="31"/>
  <c r="AN42" i="24"/>
  <c r="AP43" i="24"/>
  <c r="AI42" i="24"/>
  <c r="AO43" i="24"/>
  <c r="AH42" i="24"/>
  <c r="O26" i="24"/>
  <c r="AP40" i="24"/>
  <c r="AI39" i="24"/>
  <c r="AI40" i="24" s="1"/>
  <c r="AI41" i="24" s="1"/>
  <c r="D44" i="24"/>
  <c r="AI36" i="24"/>
  <c r="AP37" i="24"/>
  <c r="D43" i="24"/>
  <c r="AP58" i="28"/>
  <c r="D112" i="29"/>
  <c r="D22" i="31" s="1"/>
  <c r="AH11" i="29"/>
  <c r="AO12" i="29"/>
  <c r="AH52" i="30"/>
  <c r="AH53" i="30" s="1"/>
  <c r="D112" i="30"/>
  <c r="E22" i="31" s="1"/>
  <c r="AH11" i="30"/>
  <c r="AO12" i="30"/>
  <c r="AO14" i="30"/>
  <c r="K122" i="30"/>
  <c r="E114" i="30"/>
  <c r="D114" i="30" s="1"/>
  <c r="E24" i="31" s="1"/>
  <c r="AO73" i="30"/>
  <c r="AH72" i="30"/>
  <c r="D36" i="30"/>
  <c r="E15" i="31" s="1"/>
  <c r="AH78" i="30"/>
  <c r="AO79" i="30"/>
  <c r="N38" i="30"/>
  <c r="AN78" i="30"/>
  <c r="Q38" i="30"/>
  <c r="R38" i="30"/>
  <c r="S38" i="30"/>
  <c r="P38" i="30"/>
  <c r="O38" i="30"/>
  <c r="AO45" i="30"/>
  <c r="E27" i="30"/>
  <c r="K46" i="30"/>
  <c r="AN78" i="29"/>
  <c r="AO80" i="29" s="1"/>
  <c r="S38" i="29"/>
  <c r="R38" i="29"/>
  <c r="P38" i="29"/>
  <c r="Q38" i="29"/>
  <c r="O38" i="29"/>
  <c r="AH51" i="29"/>
  <c r="AO52" i="29"/>
  <c r="D29" i="29"/>
  <c r="D8" i="31" s="1"/>
  <c r="AH42" i="30"/>
  <c r="AH43" i="30" s="1"/>
  <c r="AH44" i="30" s="1"/>
  <c r="AO43" i="30"/>
  <c r="D26" i="30"/>
  <c r="E5" i="31" s="1"/>
  <c r="E31" i="30"/>
  <c r="K50" i="30"/>
  <c r="AO57" i="30"/>
  <c r="D28" i="30"/>
  <c r="AO61" i="30"/>
  <c r="AH60" i="30"/>
  <c r="AH61" i="30" s="1"/>
  <c r="AH62" i="30" s="1"/>
  <c r="AH48" i="30"/>
  <c r="AO49" i="30"/>
  <c r="D33" i="30"/>
  <c r="AN51" i="30"/>
  <c r="AO53" i="30" s="1"/>
  <c r="S29" i="30"/>
  <c r="R29" i="30"/>
  <c r="Q29" i="30"/>
  <c r="P29" i="30"/>
  <c r="O29" i="30"/>
  <c r="AN36" i="30"/>
  <c r="AO38" i="30" s="1"/>
  <c r="S24" i="30"/>
  <c r="R24" i="30"/>
  <c r="Q24" i="30"/>
  <c r="P24" i="30"/>
  <c r="O24" i="30"/>
  <c r="AO55" i="30"/>
  <c r="AH54" i="30"/>
  <c r="AH55" i="30" s="1"/>
  <c r="AH56" i="30" s="1"/>
  <c r="D35" i="30"/>
  <c r="D30" i="30"/>
  <c r="AH63" i="30"/>
  <c r="AO64" i="30"/>
  <c r="AH69" i="30"/>
  <c r="AO70" i="30"/>
  <c r="AO76" i="30"/>
  <c r="AH75" i="30"/>
  <c r="AO66" i="30"/>
  <c r="E34" i="30"/>
  <c r="K53" i="30"/>
  <c r="D32" i="30"/>
  <c r="AF40" i="30"/>
  <c r="AF41" i="30" s="1"/>
  <c r="D37" i="30"/>
  <c r="K119" i="30"/>
  <c r="E111" i="30"/>
  <c r="AO8" i="30"/>
  <c r="AN6" i="30"/>
  <c r="AN7" i="30" s="1"/>
  <c r="AG5" i="30"/>
  <c r="AQ7" i="30"/>
  <c r="AP7" i="30"/>
  <c r="D26" i="29"/>
  <c r="D5" i="31" s="1"/>
  <c r="D111" i="29"/>
  <c r="D21" i="31" s="1"/>
  <c r="AH69" i="29"/>
  <c r="AH70" i="29" s="1"/>
  <c r="AH71" i="29" s="1"/>
  <c r="AO70" i="29"/>
  <c r="AO55" i="29"/>
  <c r="AH54" i="29"/>
  <c r="AH55" i="29" s="1"/>
  <c r="AH56" i="29" s="1"/>
  <c r="AH63" i="29"/>
  <c r="AH64" i="29" s="1"/>
  <c r="AH65" i="29" s="1"/>
  <c r="AO64" i="29"/>
  <c r="D24" i="29"/>
  <c r="D3" i="31" s="1"/>
  <c r="AO37" i="29"/>
  <c r="AH36" i="29"/>
  <c r="AH37" i="29" s="1"/>
  <c r="AH38" i="29" s="1"/>
  <c r="AO76" i="29"/>
  <c r="AH75" i="29"/>
  <c r="AH76" i="29" s="1"/>
  <c r="AH77" i="29" s="1"/>
  <c r="D32" i="29"/>
  <c r="D11" i="31" s="1"/>
  <c r="R27" i="29"/>
  <c r="Q27" i="29"/>
  <c r="P27" i="29"/>
  <c r="O27" i="29"/>
  <c r="AN45" i="29"/>
  <c r="S27" i="29"/>
  <c r="AN39" i="29"/>
  <c r="R25" i="29"/>
  <c r="Q25" i="29"/>
  <c r="P25" i="29"/>
  <c r="O25" i="29"/>
  <c r="S25" i="29"/>
  <c r="D114" i="29"/>
  <c r="D37" i="29"/>
  <c r="AO61" i="29"/>
  <c r="AH60" i="29"/>
  <c r="N25" i="29"/>
  <c r="AO15" i="29"/>
  <c r="AH14" i="29"/>
  <c r="AH15" i="29" s="1"/>
  <c r="AH16" i="29" s="1"/>
  <c r="D35" i="29"/>
  <c r="D14" i="31" s="1"/>
  <c r="AO49" i="29"/>
  <c r="AH48" i="29"/>
  <c r="AO41" i="29"/>
  <c r="AN6" i="29"/>
  <c r="AN7" i="29" s="1"/>
  <c r="AG5" i="29"/>
  <c r="AP7" i="29"/>
  <c r="K53" i="29"/>
  <c r="AO66" i="29"/>
  <c r="E34" i="29"/>
  <c r="AO9" i="29"/>
  <c r="AH8" i="29"/>
  <c r="AH9" i="29" s="1"/>
  <c r="AH10" i="29" s="1"/>
  <c r="AO7" i="29"/>
  <c r="D28" i="29"/>
  <c r="D7" i="31" s="1"/>
  <c r="D30" i="29"/>
  <c r="D9" i="31" s="1"/>
  <c r="D33" i="29"/>
  <c r="AO57" i="29"/>
  <c r="K50" i="29"/>
  <c r="E31" i="29"/>
  <c r="AH42" i="29"/>
  <c r="AH43" i="29" s="1"/>
  <c r="AH44" i="29" s="1"/>
  <c r="AO43" i="29"/>
  <c r="N112" i="28"/>
  <c r="E22" i="26"/>
  <c r="AI14" i="28"/>
  <c r="AI15" i="28" s="1"/>
  <c r="AI16" i="28" s="1"/>
  <c r="AP15" i="28"/>
  <c r="D122" i="28"/>
  <c r="J122" i="28" s="1"/>
  <c r="AH61" i="28"/>
  <c r="AH62" i="28" s="1"/>
  <c r="AI72" i="28"/>
  <c r="AI73" i="28" s="1"/>
  <c r="AI74" i="28" s="1"/>
  <c r="AP73" i="28"/>
  <c r="AI51" i="28"/>
  <c r="AI52" i="28" s="1"/>
  <c r="AI53" i="28" s="1"/>
  <c r="AP52" i="28"/>
  <c r="D48" i="28"/>
  <c r="J48" i="28" s="1"/>
  <c r="J55" i="28"/>
  <c r="K55" i="28"/>
  <c r="AO72" i="28"/>
  <c r="E36" i="28"/>
  <c r="D36" i="28" s="1"/>
  <c r="S36" i="28" s="1"/>
  <c r="D119" i="28"/>
  <c r="AO48" i="28"/>
  <c r="K47" i="28"/>
  <c r="E28" i="28"/>
  <c r="AN60" i="28"/>
  <c r="AO62" i="28" s="1"/>
  <c r="R32" i="28"/>
  <c r="Q32" i="28"/>
  <c r="P32" i="28"/>
  <c r="O32" i="28"/>
  <c r="S32" i="28"/>
  <c r="J47" i="28"/>
  <c r="AO36" i="28"/>
  <c r="K43" i="28"/>
  <c r="E24" i="28"/>
  <c r="D53" i="28"/>
  <c r="J53" i="28"/>
  <c r="AI45" i="28"/>
  <c r="AI46" i="28" s="1"/>
  <c r="AI47" i="28" s="1"/>
  <c r="AP46" i="28"/>
  <c r="AP6" i="28"/>
  <c r="AI5" i="28"/>
  <c r="AI6" i="28" s="1"/>
  <c r="AI7" i="28" s="1"/>
  <c r="AI66" i="28"/>
  <c r="AI67" i="28" s="1"/>
  <c r="AI68" i="28" s="1"/>
  <c r="AP67" i="28"/>
  <c r="D46" i="28"/>
  <c r="K54" i="28"/>
  <c r="AO69" i="28"/>
  <c r="E35" i="28"/>
  <c r="K49" i="28"/>
  <c r="E30" i="28"/>
  <c r="AO54" i="28"/>
  <c r="D121" i="28"/>
  <c r="K50" i="28"/>
  <c r="AO57" i="28"/>
  <c r="E31" i="28"/>
  <c r="K56" i="28"/>
  <c r="AO75" i="28"/>
  <c r="E37" i="28"/>
  <c r="O112" i="28"/>
  <c r="S112" i="28"/>
  <c r="R112" i="28"/>
  <c r="Q112" i="28"/>
  <c r="P112" i="28"/>
  <c r="AN11" i="28"/>
  <c r="AO63" i="28"/>
  <c r="K52" i="28"/>
  <c r="E33" i="28"/>
  <c r="J54" i="28"/>
  <c r="K44" i="28"/>
  <c r="AO39" i="28"/>
  <c r="E25" i="28"/>
  <c r="D38" i="28"/>
  <c r="E17" i="26" s="1"/>
  <c r="AO42" i="28"/>
  <c r="K45" i="28"/>
  <c r="E26" i="28"/>
  <c r="AI8" i="28"/>
  <c r="AI9" i="28" s="1"/>
  <c r="AI10" i="28" s="1"/>
  <c r="AP9" i="28"/>
  <c r="AO79" i="28"/>
  <c r="AH78" i="28"/>
  <c r="N32" i="28"/>
  <c r="E121" i="25"/>
  <c r="D121" i="25" s="1"/>
  <c r="AO5" i="25" s="1"/>
  <c r="AH5" i="25" s="1"/>
  <c r="AP5" i="25"/>
  <c r="AI5" i="25" s="1"/>
  <c r="M62" i="25"/>
  <c r="L62" i="25"/>
  <c r="D43" i="25"/>
  <c r="AO36" i="25" s="1"/>
  <c r="J43" i="25"/>
  <c r="M76" i="25"/>
  <c r="L76" i="25"/>
  <c r="K76" i="25"/>
  <c r="L130" i="25"/>
  <c r="K130" i="25"/>
  <c r="K62" i="25"/>
  <c r="D120" i="25"/>
  <c r="J120" i="25" s="1"/>
  <c r="D122" i="25"/>
  <c r="J122" i="25" s="1"/>
  <c r="D30" i="24"/>
  <c r="E121" i="24"/>
  <c r="AP5" i="24"/>
  <c r="AI5" i="24" s="1"/>
  <c r="AI6" i="24" s="1"/>
  <c r="M69" i="24"/>
  <c r="L69" i="24"/>
  <c r="K69" i="24"/>
  <c r="D38" i="24"/>
  <c r="D111" i="24"/>
  <c r="F21" i="31" s="1"/>
  <c r="AO15" i="24"/>
  <c r="D29" i="24"/>
  <c r="N29" i="24" s="1"/>
  <c r="D114" i="24"/>
  <c r="F24" i="31" s="1"/>
  <c r="AQ9" i="24"/>
  <c r="AI10" i="24"/>
  <c r="D19" i="25"/>
  <c r="AF78" i="25" s="1"/>
  <c r="AJ80" i="25" s="1"/>
  <c r="M75" i="25"/>
  <c r="L75" i="25"/>
  <c r="K75" i="25"/>
  <c r="M73" i="25"/>
  <c r="K73" i="25"/>
  <c r="L73" i="25"/>
  <c r="D53" i="25"/>
  <c r="M72" i="25"/>
  <c r="L72" i="25"/>
  <c r="K72" i="25"/>
  <c r="L71" i="25"/>
  <c r="M71" i="25"/>
  <c r="K71" i="25"/>
  <c r="D31" i="25"/>
  <c r="AN57" i="25" s="1"/>
  <c r="AQ59" i="25" s="1"/>
  <c r="M67" i="25"/>
  <c r="K67" i="25"/>
  <c r="L67" i="25"/>
  <c r="M66" i="25"/>
  <c r="K66" i="25"/>
  <c r="L66" i="25"/>
  <c r="M65" i="25"/>
  <c r="K65" i="25"/>
  <c r="L65" i="25"/>
  <c r="J45" i="25"/>
  <c r="E26" i="25"/>
  <c r="K45" i="25"/>
  <c r="M64" i="25"/>
  <c r="K64" i="25"/>
  <c r="L64" i="25"/>
  <c r="D6" i="25"/>
  <c r="AF39" i="25" s="1"/>
  <c r="AJ41" i="25" s="1"/>
  <c r="D5" i="25"/>
  <c r="AF36" i="25" s="1"/>
  <c r="D106" i="25"/>
  <c r="J121" i="25"/>
  <c r="E113" i="25"/>
  <c r="M129" i="25"/>
  <c r="K129" i="25"/>
  <c r="L129" i="25"/>
  <c r="D104" i="25"/>
  <c r="D103" i="25"/>
  <c r="D55" i="24"/>
  <c r="AO72" i="24" s="1"/>
  <c r="F34" i="26"/>
  <c r="K70" i="24"/>
  <c r="M70" i="24"/>
  <c r="L70" i="24"/>
  <c r="K121" i="25"/>
  <c r="AP9" i="25"/>
  <c r="AP10" i="25" s="1"/>
  <c r="AO9" i="25"/>
  <c r="AO10" i="25" s="1"/>
  <c r="D55" i="25"/>
  <c r="AO72" i="25" s="1"/>
  <c r="AP15" i="25"/>
  <c r="M74" i="25"/>
  <c r="L74" i="25"/>
  <c r="AP15" i="24"/>
  <c r="AH76" i="30" l="1"/>
  <c r="AH77" i="30" s="1"/>
  <c r="AI46" i="30"/>
  <c r="AI47" i="30" s="1"/>
  <c r="AI37" i="30"/>
  <c r="AI38" i="30" s="1"/>
  <c r="AI79" i="30"/>
  <c r="AI80" i="30" s="1"/>
  <c r="AI52" i="29"/>
  <c r="AI53" i="29" s="1"/>
  <c r="AN73" i="29"/>
  <c r="AN74" i="29" s="1"/>
  <c r="AP74" i="29"/>
  <c r="AQ74" i="29"/>
  <c r="AO74" i="29"/>
  <c r="AI76" i="29"/>
  <c r="AI77" i="29" s="1"/>
  <c r="AG72" i="29"/>
  <c r="AG73" i="29" s="1"/>
  <c r="AG74" i="29" s="1"/>
  <c r="AI15" i="30"/>
  <c r="AI16" i="30" s="1"/>
  <c r="AI9" i="30"/>
  <c r="AI10" i="30" s="1"/>
  <c r="AH12" i="30"/>
  <c r="AH13" i="30" s="1"/>
  <c r="AI12" i="30"/>
  <c r="AI13" i="30" s="1"/>
  <c r="AI64" i="30"/>
  <c r="AI65" i="30" s="1"/>
  <c r="AI49" i="30"/>
  <c r="AI50" i="30" s="1"/>
  <c r="AI58" i="30"/>
  <c r="AI59" i="30" s="1"/>
  <c r="AH64" i="30"/>
  <c r="AH65" i="30" s="1"/>
  <c r="AH40" i="30"/>
  <c r="AH41" i="30" s="1"/>
  <c r="AI73" i="30"/>
  <c r="AI74" i="30" s="1"/>
  <c r="AH70" i="30"/>
  <c r="AH71" i="30" s="1"/>
  <c r="AI76" i="30"/>
  <c r="AI77" i="30" s="1"/>
  <c r="AH73" i="30"/>
  <c r="AH74" i="30" s="1"/>
  <c r="AI70" i="30"/>
  <c r="AI71" i="30" s="1"/>
  <c r="N112" i="29"/>
  <c r="AH6" i="29"/>
  <c r="AH7" i="29" s="1"/>
  <c r="AH52" i="29"/>
  <c r="AH53" i="29" s="1"/>
  <c r="AI64" i="29"/>
  <c r="AI65" i="29" s="1"/>
  <c r="AH49" i="29"/>
  <c r="AH50" i="29" s="1"/>
  <c r="AI79" i="29"/>
  <c r="AI80" i="29" s="1"/>
  <c r="N29" i="29"/>
  <c r="AP70" i="24"/>
  <c r="AI69" i="24"/>
  <c r="AI70" i="24" s="1"/>
  <c r="AI71" i="24" s="1"/>
  <c r="AJ38" i="25"/>
  <c r="AH79" i="28"/>
  <c r="AH80" i="28" s="1"/>
  <c r="AG40" i="30"/>
  <c r="AG41" i="30" s="1"/>
  <c r="N28" i="30"/>
  <c r="E7" i="31"/>
  <c r="AP44" i="24"/>
  <c r="J51" i="25"/>
  <c r="AI40" i="29"/>
  <c r="AI41" i="29" s="1"/>
  <c r="AI40" i="28"/>
  <c r="AI41" i="28" s="1"/>
  <c r="AI61" i="28"/>
  <c r="AI62" i="28" s="1"/>
  <c r="D54" i="24"/>
  <c r="J54" i="24"/>
  <c r="AI49" i="28"/>
  <c r="AI50" i="28" s="1"/>
  <c r="AH61" i="29"/>
  <c r="AH62" i="29" s="1"/>
  <c r="AI58" i="28"/>
  <c r="AI59" i="28" s="1"/>
  <c r="AH12" i="29"/>
  <c r="AH13" i="29" s="1"/>
  <c r="AO60" i="25"/>
  <c r="AN61" i="25" s="1"/>
  <c r="AN62" i="25" s="1"/>
  <c r="AF73" i="29"/>
  <c r="AF74" i="29" s="1"/>
  <c r="AI73" i="29"/>
  <c r="AI74" i="29" s="1"/>
  <c r="AI70" i="28"/>
  <c r="AI71" i="28" s="1"/>
  <c r="AI67" i="29"/>
  <c r="AI68" i="29" s="1"/>
  <c r="N37" i="29"/>
  <c r="D16" i="31"/>
  <c r="N30" i="30"/>
  <c r="E9" i="31"/>
  <c r="N33" i="30"/>
  <c r="E12" i="31"/>
  <c r="K51" i="25"/>
  <c r="AH6" i="30"/>
  <c r="AH7" i="30" s="1"/>
  <c r="AI46" i="29"/>
  <c r="AI47" i="29" s="1"/>
  <c r="AI15" i="24"/>
  <c r="AI16" i="24" s="1"/>
  <c r="AI55" i="28"/>
  <c r="AI56" i="28" s="1"/>
  <c r="N114" i="29"/>
  <c r="D24" i="31"/>
  <c r="H24" i="31" s="1"/>
  <c r="L24" i="31" s="1"/>
  <c r="N35" i="30"/>
  <c r="E14" i="31"/>
  <c r="AI61" i="30"/>
  <c r="AI62" i="30" s="1"/>
  <c r="AI43" i="30"/>
  <c r="AI44" i="30" s="1"/>
  <c r="AH76" i="24"/>
  <c r="AH77" i="24" s="1"/>
  <c r="AI37" i="28"/>
  <c r="AI38" i="28" s="1"/>
  <c r="AH12" i="28"/>
  <c r="AH13" i="28" s="1"/>
  <c r="AI76" i="28"/>
  <c r="AI77" i="28" s="1"/>
  <c r="AI52" i="30"/>
  <c r="AI53" i="30" s="1"/>
  <c r="AI12" i="25"/>
  <c r="J51" i="24"/>
  <c r="N33" i="29"/>
  <c r="D12" i="31"/>
  <c r="AH49" i="30"/>
  <c r="AH50" i="30" s="1"/>
  <c r="AH79" i="30"/>
  <c r="AH80" i="30" s="1"/>
  <c r="AI58" i="25"/>
  <c r="AH46" i="29"/>
  <c r="AH47" i="29" s="1"/>
  <c r="AH79" i="29"/>
  <c r="AH80" i="29" s="1"/>
  <c r="AH37" i="30"/>
  <c r="AH38" i="30" s="1"/>
  <c r="N32" i="30"/>
  <c r="E11" i="31"/>
  <c r="N37" i="30"/>
  <c r="E16" i="31"/>
  <c r="N36" i="30"/>
  <c r="AI55" i="29"/>
  <c r="AI56" i="29" s="1"/>
  <c r="AI15" i="29"/>
  <c r="AI16" i="29" s="1"/>
  <c r="AI12" i="28"/>
  <c r="AI13" i="28" s="1"/>
  <c r="AI40" i="30"/>
  <c r="AI41" i="30" s="1"/>
  <c r="AI43" i="28"/>
  <c r="AI44" i="28" s="1"/>
  <c r="AH9" i="25"/>
  <c r="AI9" i="25"/>
  <c r="AI67" i="30"/>
  <c r="AI68" i="30" s="1"/>
  <c r="AI58" i="29"/>
  <c r="AI59" i="29" s="1"/>
  <c r="AI73" i="24"/>
  <c r="AH9" i="24"/>
  <c r="AH10" i="24" s="1"/>
  <c r="J54" i="25"/>
  <c r="AI80" i="25"/>
  <c r="AI41" i="25"/>
  <c r="AH41" i="25"/>
  <c r="AO13" i="28"/>
  <c r="AH72" i="25"/>
  <c r="AO73" i="25"/>
  <c r="AG60" i="25"/>
  <c r="J53" i="25"/>
  <c r="AO66" i="25"/>
  <c r="AH48" i="25"/>
  <c r="AO49" i="25"/>
  <c r="J46" i="25"/>
  <c r="K47" i="25"/>
  <c r="N31" i="25"/>
  <c r="AO70" i="25"/>
  <c r="AH69" i="25"/>
  <c r="K56" i="25"/>
  <c r="AH78" i="25"/>
  <c r="AH79" i="25" s="1"/>
  <c r="AH80" i="25" s="1"/>
  <c r="AO79" i="25"/>
  <c r="AO61" i="25"/>
  <c r="AO62" i="25" s="1"/>
  <c r="AH60" i="25"/>
  <c r="AH61" i="25" s="1"/>
  <c r="AI36" i="25"/>
  <c r="AI37" i="25" s="1"/>
  <c r="AI38" i="25" s="1"/>
  <c r="AP37" i="25"/>
  <c r="AI66" i="25"/>
  <c r="AI67" i="25" s="1"/>
  <c r="AP67" i="25"/>
  <c r="AI42" i="25"/>
  <c r="AI43" i="25" s="1"/>
  <c r="AP43" i="25"/>
  <c r="AP52" i="25"/>
  <c r="AI51" i="25"/>
  <c r="AI52" i="25" s="1"/>
  <c r="AO46" i="25"/>
  <c r="AH45" i="25"/>
  <c r="E28" i="25"/>
  <c r="D28" i="25" s="1"/>
  <c r="AN48" i="25" s="1"/>
  <c r="E37" i="25"/>
  <c r="AP62" i="25"/>
  <c r="D38" i="25"/>
  <c r="AI69" i="25"/>
  <c r="AI70" i="25" s="1"/>
  <c r="AP70" i="25"/>
  <c r="AP46" i="25"/>
  <c r="AI45" i="25"/>
  <c r="AI46" i="25" s="1"/>
  <c r="AQ62" i="25"/>
  <c r="AO43" i="25"/>
  <c r="AH42" i="25"/>
  <c r="AP55" i="25"/>
  <c r="AI54" i="25"/>
  <c r="AI55" i="25" s="1"/>
  <c r="J52" i="25"/>
  <c r="AO63" i="25"/>
  <c r="AH75" i="25"/>
  <c r="AO76" i="25"/>
  <c r="AG57" i="25"/>
  <c r="AN58" i="25"/>
  <c r="AN59" i="25" s="1"/>
  <c r="J47" i="25"/>
  <c r="J48" i="25"/>
  <c r="AO51" i="25"/>
  <c r="AH51" i="25" s="1"/>
  <c r="AH52" i="25" s="1"/>
  <c r="N32" i="25"/>
  <c r="J56" i="25"/>
  <c r="AO37" i="25"/>
  <c r="AH36" i="25"/>
  <c r="AH37" i="25" s="1"/>
  <c r="AH38" i="25" s="1"/>
  <c r="AO59" i="25"/>
  <c r="AG40" i="25"/>
  <c r="AG41" i="25" s="1"/>
  <c r="AF40" i="25"/>
  <c r="AF41" i="25" s="1"/>
  <c r="AP59" i="25"/>
  <c r="AI63" i="25"/>
  <c r="AI64" i="25" s="1"/>
  <c r="AP64" i="25"/>
  <c r="AI75" i="25"/>
  <c r="AI76" i="25" s="1"/>
  <c r="AP76" i="25"/>
  <c r="AI48" i="25"/>
  <c r="AI49" i="25" s="1"/>
  <c r="AP49" i="25"/>
  <c r="AI72" i="25"/>
  <c r="AI73" i="25" s="1"/>
  <c r="AP73" i="25"/>
  <c r="D49" i="25"/>
  <c r="J49" i="25" s="1"/>
  <c r="N114" i="24"/>
  <c r="D120" i="24"/>
  <c r="J120" i="24" s="1"/>
  <c r="AI11" i="24"/>
  <c r="AI12" i="24" s="1"/>
  <c r="AI13" i="24" s="1"/>
  <c r="AP12" i="24"/>
  <c r="N111" i="24"/>
  <c r="F17" i="31"/>
  <c r="AN78" i="24"/>
  <c r="AO79" i="24"/>
  <c r="AH78" i="24"/>
  <c r="AH79" i="24" s="1"/>
  <c r="AH80" i="24" s="1"/>
  <c r="AG76" i="24"/>
  <c r="AG77" i="24" s="1"/>
  <c r="AF76" i="24"/>
  <c r="AF77" i="24" s="1"/>
  <c r="AO73" i="24"/>
  <c r="AH72" i="24"/>
  <c r="F13" i="31"/>
  <c r="AN66" i="24"/>
  <c r="AP68" i="24"/>
  <c r="AO67" i="24"/>
  <c r="AH66" i="24"/>
  <c r="AH67" i="24" s="1"/>
  <c r="AH68" i="24" s="1"/>
  <c r="AO63" i="24"/>
  <c r="K52" i="24"/>
  <c r="E33" i="24"/>
  <c r="AI60" i="24"/>
  <c r="AI61" i="24" s="1"/>
  <c r="AI62" i="24" s="1"/>
  <c r="AP61" i="24"/>
  <c r="AH60" i="24"/>
  <c r="AH61" i="24" s="1"/>
  <c r="AH62" i="24" s="1"/>
  <c r="AO61" i="24"/>
  <c r="AO58" i="24"/>
  <c r="AH57" i="24"/>
  <c r="AP58" i="24"/>
  <c r="AI57" i="24"/>
  <c r="AO55" i="24"/>
  <c r="AH54" i="24"/>
  <c r="AH55" i="24" s="1"/>
  <c r="AH56" i="24" s="1"/>
  <c r="F9" i="31"/>
  <c r="AN54" i="24"/>
  <c r="AP56" i="24" s="1"/>
  <c r="N30" i="24"/>
  <c r="AO52" i="24"/>
  <c r="AH51" i="24"/>
  <c r="AH52" i="24" s="1"/>
  <c r="AH53" i="24" s="1"/>
  <c r="F8" i="31"/>
  <c r="AN51" i="24"/>
  <c r="AI48" i="24"/>
  <c r="AI49" i="24" s="1"/>
  <c r="AI50" i="24" s="1"/>
  <c r="AP49" i="24"/>
  <c r="D47" i="24"/>
  <c r="J47" i="24"/>
  <c r="D46" i="24"/>
  <c r="J46" i="24"/>
  <c r="AI45" i="24"/>
  <c r="AP46" i="24"/>
  <c r="AG42" i="24"/>
  <c r="AF43" i="24" s="1"/>
  <c r="AF44" i="24" s="1"/>
  <c r="AN43" i="24"/>
  <c r="AN44" i="24" s="1"/>
  <c r="AQ44" i="24"/>
  <c r="AO44" i="24"/>
  <c r="H5" i="31"/>
  <c r="L5" i="31" s="1"/>
  <c r="AH43" i="24"/>
  <c r="AH44" i="24" s="1"/>
  <c r="AI43" i="24"/>
  <c r="AI44" i="24" s="1"/>
  <c r="AO39" i="24"/>
  <c r="E25" i="24"/>
  <c r="K44" i="24"/>
  <c r="J44" i="24"/>
  <c r="AO36" i="24"/>
  <c r="K43" i="24"/>
  <c r="E24" i="24"/>
  <c r="AI37" i="24"/>
  <c r="AI38" i="24" s="1"/>
  <c r="J43" i="24"/>
  <c r="R112" i="29"/>
  <c r="Q112" i="29"/>
  <c r="AN11" i="29"/>
  <c r="P112" i="29"/>
  <c r="S112" i="29"/>
  <c r="O112" i="29"/>
  <c r="N114" i="30"/>
  <c r="S114" i="30"/>
  <c r="R114" i="30"/>
  <c r="P114" i="30"/>
  <c r="AN14" i="30"/>
  <c r="O114" i="30"/>
  <c r="Q114" i="30"/>
  <c r="AO15" i="30"/>
  <c r="AH14" i="30"/>
  <c r="AH15" i="30" s="1"/>
  <c r="AH16" i="30" s="1"/>
  <c r="S112" i="30"/>
  <c r="R112" i="30"/>
  <c r="P112" i="30"/>
  <c r="O112" i="30"/>
  <c r="AN11" i="30"/>
  <c r="AO13" i="30" s="1"/>
  <c r="Q112" i="30"/>
  <c r="N112" i="30"/>
  <c r="AO46" i="30"/>
  <c r="AH45" i="30"/>
  <c r="AH46" i="30" s="1"/>
  <c r="AH47" i="30" s="1"/>
  <c r="AG78" i="30"/>
  <c r="AN79" i="30"/>
  <c r="AN80" i="30" s="1"/>
  <c r="AQ80" i="30"/>
  <c r="AP80" i="30"/>
  <c r="D27" i="30"/>
  <c r="E6" i="31" s="1"/>
  <c r="AO80" i="30"/>
  <c r="R36" i="30"/>
  <c r="Q36" i="30"/>
  <c r="P36" i="30"/>
  <c r="O36" i="30"/>
  <c r="AN72" i="30"/>
  <c r="AO74" i="30" s="1"/>
  <c r="S36" i="30"/>
  <c r="AN51" i="29"/>
  <c r="AO53" i="29" s="1"/>
  <c r="R29" i="29"/>
  <c r="Q29" i="29"/>
  <c r="P29" i="29"/>
  <c r="O29" i="29"/>
  <c r="S29" i="29"/>
  <c r="AQ80" i="29"/>
  <c r="AG78" i="29"/>
  <c r="AP80" i="29"/>
  <c r="AN79" i="29"/>
  <c r="AN80" i="29" s="1"/>
  <c r="AG36" i="30"/>
  <c r="AN37" i="30"/>
  <c r="AN38" i="30" s="1"/>
  <c r="AQ38" i="30"/>
  <c r="AP38" i="30"/>
  <c r="S26" i="30"/>
  <c r="R26" i="30"/>
  <c r="Q26" i="30"/>
  <c r="P26" i="30"/>
  <c r="AN42" i="30"/>
  <c r="AO44" i="30" s="1"/>
  <c r="O26" i="30"/>
  <c r="AG6" i="30"/>
  <c r="AG7" i="30" s="1"/>
  <c r="AF6" i="30"/>
  <c r="AF7" i="30" s="1"/>
  <c r="N26" i="30"/>
  <c r="AN63" i="30"/>
  <c r="AO65" i="30" s="1"/>
  <c r="S33" i="30"/>
  <c r="R33" i="30"/>
  <c r="Q33" i="30"/>
  <c r="P33" i="30"/>
  <c r="O33" i="30"/>
  <c r="AN48" i="30"/>
  <c r="S28" i="30"/>
  <c r="R28" i="30"/>
  <c r="Q28" i="30"/>
  <c r="P28" i="30"/>
  <c r="O28" i="30"/>
  <c r="D31" i="30"/>
  <c r="AR7" i="30"/>
  <c r="AO9" i="30"/>
  <c r="AH8" i="30"/>
  <c r="AH9" i="30" s="1"/>
  <c r="AH10" i="30" s="1"/>
  <c r="AO67" i="30"/>
  <c r="AH66" i="30"/>
  <c r="AH67" i="30" s="1"/>
  <c r="AH68" i="30" s="1"/>
  <c r="D111" i="30"/>
  <c r="AN60" i="30"/>
  <c r="AO62" i="30" s="1"/>
  <c r="S32" i="30"/>
  <c r="R32" i="30"/>
  <c r="Q32" i="30"/>
  <c r="P32" i="30"/>
  <c r="O32" i="30"/>
  <c r="AN54" i="30"/>
  <c r="S30" i="30"/>
  <c r="R30" i="30"/>
  <c r="Q30" i="30"/>
  <c r="P30" i="30"/>
  <c r="O30" i="30"/>
  <c r="AH57" i="30"/>
  <c r="AH58" i="30" s="1"/>
  <c r="AH59" i="30" s="1"/>
  <c r="AO58" i="30"/>
  <c r="AN75" i="30"/>
  <c r="R37" i="30"/>
  <c r="Q37" i="30"/>
  <c r="P37" i="30"/>
  <c r="O37" i="30"/>
  <c r="S37" i="30"/>
  <c r="D34" i="30"/>
  <c r="S35" i="30"/>
  <c r="AN69" i="30"/>
  <c r="AO71" i="30" s="1"/>
  <c r="R35" i="30"/>
  <c r="Q35" i="30"/>
  <c r="P35" i="30"/>
  <c r="O35" i="30"/>
  <c r="AG51" i="30"/>
  <c r="AQ53" i="30"/>
  <c r="AN52" i="30"/>
  <c r="AN53" i="30" s="1"/>
  <c r="AP53" i="30"/>
  <c r="D34" i="29"/>
  <c r="D13" i="31" s="1"/>
  <c r="AN63" i="29"/>
  <c r="AO65" i="29" s="1"/>
  <c r="R33" i="29"/>
  <c r="Q33" i="29"/>
  <c r="P33" i="29"/>
  <c r="O33" i="29"/>
  <c r="S33" i="29"/>
  <c r="AN54" i="29"/>
  <c r="AO56" i="29" s="1"/>
  <c r="R30" i="29"/>
  <c r="Q30" i="29"/>
  <c r="P30" i="29"/>
  <c r="O30" i="29"/>
  <c r="S30" i="29"/>
  <c r="AO67" i="29"/>
  <c r="AH66" i="29"/>
  <c r="AH67" i="29" s="1"/>
  <c r="AH68" i="29" s="1"/>
  <c r="AG45" i="29"/>
  <c r="AN46" i="29"/>
  <c r="AN47" i="29" s="1"/>
  <c r="AQ47" i="29"/>
  <c r="AP47" i="29"/>
  <c r="N30" i="29"/>
  <c r="R35" i="29"/>
  <c r="Q35" i="29"/>
  <c r="P35" i="29"/>
  <c r="AN69" i="29"/>
  <c r="AO71" i="29" s="1"/>
  <c r="O35" i="29"/>
  <c r="S35" i="29"/>
  <c r="AN48" i="29"/>
  <c r="R28" i="29"/>
  <c r="Q28" i="29"/>
  <c r="P28" i="29"/>
  <c r="O28" i="29"/>
  <c r="S28" i="29"/>
  <c r="N35" i="29"/>
  <c r="AO47" i="29"/>
  <c r="R24" i="29"/>
  <c r="Q24" i="29"/>
  <c r="P24" i="29"/>
  <c r="O24" i="29"/>
  <c r="AN36" i="29"/>
  <c r="S24" i="29"/>
  <c r="S111" i="29"/>
  <c r="R111" i="29"/>
  <c r="Q111" i="29"/>
  <c r="P111" i="29"/>
  <c r="O111" i="29"/>
  <c r="AN8" i="29"/>
  <c r="D31" i="29"/>
  <c r="N28" i="29"/>
  <c r="AN75" i="29"/>
  <c r="O37" i="29"/>
  <c r="R37" i="29"/>
  <c r="S37" i="29"/>
  <c r="Q37" i="29"/>
  <c r="P37" i="29"/>
  <c r="N24" i="29"/>
  <c r="N111" i="29"/>
  <c r="AG6" i="29"/>
  <c r="AG7" i="29" s="1"/>
  <c r="AF6" i="29"/>
  <c r="AF7" i="29" s="1"/>
  <c r="AN40" i="29"/>
  <c r="AN41" i="29" s="1"/>
  <c r="AQ41" i="29"/>
  <c r="AG39" i="29"/>
  <c r="AP41" i="29"/>
  <c r="AN60" i="29"/>
  <c r="AO62" i="29" s="1"/>
  <c r="R32" i="29"/>
  <c r="Q32" i="29"/>
  <c r="P32" i="29"/>
  <c r="O32" i="29"/>
  <c r="S32" i="29"/>
  <c r="R26" i="29"/>
  <c r="AN42" i="29"/>
  <c r="AO44" i="29" s="1"/>
  <c r="Q26" i="29"/>
  <c r="P26" i="29"/>
  <c r="O26" i="29"/>
  <c r="S26" i="29"/>
  <c r="AO58" i="29"/>
  <c r="AH57" i="29"/>
  <c r="AH58" i="29" s="1"/>
  <c r="AH59" i="29" s="1"/>
  <c r="AR7" i="29"/>
  <c r="S114" i="29"/>
  <c r="R114" i="29"/>
  <c r="Q114" i="29"/>
  <c r="O114" i="29"/>
  <c r="AN14" i="29"/>
  <c r="P114" i="29"/>
  <c r="N32" i="29"/>
  <c r="N26" i="29"/>
  <c r="N36" i="28"/>
  <c r="E15" i="26"/>
  <c r="AN72" i="28"/>
  <c r="AG72" i="28" s="1"/>
  <c r="K122" i="28"/>
  <c r="AO14" i="28"/>
  <c r="E114" i="28"/>
  <c r="D114" i="28" s="1"/>
  <c r="O36" i="28"/>
  <c r="P36" i="28"/>
  <c r="E29" i="28"/>
  <c r="K48" i="28"/>
  <c r="AO51" i="28"/>
  <c r="Q36" i="28"/>
  <c r="R36" i="28"/>
  <c r="AH72" i="28"/>
  <c r="AH73" i="28" s="1"/>
  <c r="AH74" i="28" s="1"/>
  <c r="AO73" i="28"/>
  <c r="K119" i="28"/>
  <c r="E111" i="28"/>
  <c r="AO8" i="28"/>
  <c r="AH42" i="28"/>
  <c r="AH43" i="28" s="1"/>
  <c r="AH44" i="28" s="1"/>
  <c r="AO43" i="28"/>
  <c r="D37" i="28"/>
  <c r="AH69" i="28"/>
  <c r="AH70" i="28" s="1"/>
  <c r="AH71" i="28" s="1"/>
  <c r="AO70" i="28"/>
  <c r="D24" i="28"/>
  <c r="K53" i="28"/>
  <c r="AO66" i="28"/>
  <c r="E34" i="28"/>
  <c r="AN78" i="28"/>
  <c r="AO80" i="28" s="1"/>
  <c r="P38" i="28"/>
  <c r="O38" i="28"/>
  <c r="R38" i="28"/>
  <c r="Q38" i="28"/>
  <c r="S38" i="28"/>
  <c r="AH63" i="28"/>
  <c r="AH64" i="28" s="1"/>
  <c r="AH65" i="28" s="1"/>
  <c r="AO64" i="28"/>
  <c r="AO76" i="28"/>
  <c r="AH75" i="28"/>
  <c r="AH76" i="28" s="1"/>
  <c r="AH77" i="28" s="1"/>
  <c r="K121" i="28"/>
  <c r="E113" i="28"/>
  <c r="AO5" i="28"/>
  <c r="AG60" i="28"/>
  <c r="AN61" i="28"/>
  <c r="AN62" i="28" s="1"/>
  <c r="AQ62" i="28"/>
  <c r="AP62" i="28"/>
  <c r="N38" i="28"/>
  <c r="AN12" i="28"/>
  <c r="AN13" i="28" s="1"/>
  <c r="AG11" i="28"/>
  <c r="AP13" i="28"/>
  <c r="AQ13" i="28"/>
  <c r="J121" i="28"/>
  <c r="AO37" i="28"/>
  <c r="AH36" i="28"/>
  <c r="AH37" i="28" s="1"/>
  <c r="AH38" i="28" s="1"/>
  <c r="D28" i="28"/>
  <c r="E7" i="26" s="1"/>
  <c r="D33" i="28"/>
  <c r="D25" i="28"/>
  <c r="D31" i="28"/>
  <c r="AO55" i="28"/>
  <c r="AH54" i="28"/>
  <c r="AH55" i="28" s="1"/>
  <c r="AH56" i="28" s="1"/>
  <c r="AO45" i="28"/>
  <c r="K46" i="28"/>
  <c r="E27" i="28"/>
  <c r="D26" i="28"/>
  <c r="E5" i="26" s="1"/>
  <c r="J119" i="28"/>
  <c r="D35" i="28"/>
  <c r="AP74" i="28"/>
  <c r="AH39" i="28"/>
  <c r="AH40" i="28" s="1"/>
  <c r="AH41" i="28" s="1"/>
  <c r="AO40" i="28"/>
  <c r="AO58" i="28"/>
  <c r="AH57" i="28"/>
  <c r="AH58" i="28" s="1"/>
  <c r="AH59" i="28" s="1"/>
  <c r="D30" i="28"/>
  <c r="J46" i="28"/>
  <c r="AH48" i="28"/>
  <c r="AH49" i="28" s="1"/>
  <c r="AH50" i="28" s="1"/>
  <c r="AO49" i="28"/>
  <c r="AO14" i="25"/>
  <c r="K122" i="25"/>
  <c r="E114" i="25"/>
  <c r="K43" i="25"/>
  <c r="E24" i="25"/>
  <c r="AO11" i="25"/>
  <c r="K120" i="25"/>
  <c r="E112" i="25"/>
  <c r="O34" i="24"/>
  <c r="R34" i="24"/>
  <c r="F13" i="26"/>
  <c r="Q34" i="24"/>
  <c r="S34" i="24"/>
  <c r="P34" i="24"/>
  <c r="AN14" i="24"/>
  <c r="AP16" i="24" s="1"/>
  <c r="R114" i="24"/>
  <c r="F24" i="26"/>
  <c r="P114" i="24"/>
  <c r="O114" i="24"/>
  <c r="Q114" i="24"/>
  <c r="S114" i="24"/>
  <c r="K51" i="24"/>
  <c r="E32" i="24"/>
  <c r="S38" i="24"/>
  <c r="F17" i="26"/>
  <c r="P38" i="24"/>
  <c r="O38" i="24"/>
  <c r="R38" i="24"/>
  <c r="Q38" i="24"/>
  <c r="D121" i="24"/>
  <c r="J121" i="24" s="1"/>
  <c r="S111" i="24"/>
  <c r="AN8" i="24"/>
  <c r="AQ10" i="24" s="1"/>
  <c r="O111" i="24"/>
  <c r="R111" i="24"/>
  <c r="Q111" i="24"/>
  <c r="P111" i="24"/>
  <c r="F21" i="26"/>
  <c r="K50" i="24"/>
  <c r="E31" i="24"/>
  <c r="R29" i="24"/>
  <c r="Q29" i="24"/>
  <c r="P29" i="24"/>
  <c r="O29" i="24"/>
  <c r="S29" i="24"/>
  <c r="F8" i="26"/>
  <c r="S30" i="24"/>
  <c r="Q30" i="24"/>
  <c r="F9" i="26"/>
  <c r="O30" i="24"/>
  <c r="R30" i="24"/>
  <c r="P30" i="24"/>
  <c r="AP6" i="24"/>
  <c r="J50" i="24"/>
  <c r="N38" i="24"/>
  <c r="N34" i="24"/>
  <c r="N104" i="25"/>
  <c r="O104" i="25"/>
  <c r="P104" i="25"/>
  <c r="Q104" i="25"/>
  <c r="P103" i="25"/>
  <c r="Q103" i="25"/>
  <c r="N103" i="25"/>
  <c r="O103" i="25"/>
  <c r="O106" i="25"/>
  <c r="P106" i="25"/>
  <c r="N106" i="25"/>
  <c r="Q106" i="25"/>
  <c r="D48" i="26"/>
  <c r="N19" i="25"/>
  <c r="P19" i="25"/>
  <c r="O19" i="25"/>
  <c r="Q19" i="25"/>
  <c r="D35" i="26"/>
  <c r="P6" i="25"/>
  <c r="Q6" i="25"/>
  <c r="N6" i="25"/>
  <c r="O6" i="25"/>
  <c r="D34" i="26"/>
  <c r="N5" i="25"/>
  <c r="P5" i="25"/>
  <c r="O5" i="25"/>
  <c r="Q5" i="25"/>
  <c r="D37" i="25"/>
  <c r="J55" i="25"/>
  <c r="E36" i="25"/>
  <c r="K54" i="25"/>
  <c r="E35" i="25"/>
  <c r="K53" i="25"/>
  <c r="E34" i="25"/>
  <c r="K52" i="25"/>
  <c r="E33" i="25"/>
  <c r="Q32" i="25"/>
  <c r="R32" i="25"/>
  <c r="S32" i="25"/>
  <c r="D11" i="26"/>
  <c r="O32" i="25"/>
  <c r="P32" i="25"/>
  <c r="S31" i="25"/>
  <c r="Q31" i="25"/>
  <c r="P31" i="25"/>
  <c r="R31" i="25"/>
  <c r="O31" i="25"/>
  <c r="D10" i="26"/>
  <c r="K48" i="25"/>
  <c r="E29" i="25"/>
  <c r="K46" i="25"/>
  <c r="E27" i="25"/>
  <c r="D27" i="25" s="1"/>
  <c r="AN45" i="25" s="1"/>
  <c r="D26" i="25"/>
  <c r="AF14" i="25"/>
  <c r="D55" i="26"/>
  <c r="AI6" i="25"/>
  <c r="AP6" i="25"/>
  <c r="AF11" i="25"/>
  <c r="D53" i="26"/>
  <c r="D52" i="26"/>
  <c r="AF8" i="25"/>
  <c r="D105" i="24"/>
  <c r="F54" i="31" s="1"/>
  <c r="AR10" i="25"/>
  <c r="E36" i="24"/>
  <c r="K55" i="24"/>
  <c r="J55" i="24"/>
  <c r="D113" i="25"/>
  <c r="AN5" i="25" s="1"/>
  <c r="AH6" i="25"/>
  <c r="K55" i="25"/>
  <c r="C204" i="17"/>
  <c r="D194" i="17"/>
  <c r="D195" i="17" s="1"/>
  <c r="M162" i="17"/>
  <c r="M161" i="17"/>
  <c r="Q160" i="17"/>
  <c r="O160" i="17"/>
  <c r="O164" i="17" s="1"/>
  <c r="M160" i="17"/>
  <c r="M164" i="17" s="1"/>
  <c r="Q159" i="17"/>
  <c r="Q163" i="17" s="1"/>
  <c r="O159" i="17"/>
  <c r="C158" i="17"/>
  <c r="C138" i="17"/>
  <c r="C137" i="17"/>
  <c r="K136" i="17"/>
  <c r="C136" i="17"/>
  <c r="C135" i="17"/>
  <c r="C134" i="17"/>
  <c r="C133" i="17"/>
  <c r="C132" i="17"/>
  <c r="M130" i="17"/>
  <c r="L131" i="17" s="1"/>
  <c r="M131" i="17" s="1"/>
  <c r="L127" i="17"/>
  <c r="C123" i="17"/>
  <c r="L120" i="17"/>
  <c r="K120" i="17"/>
  <c r="M119" i="17"/>
  <c r="C114" i="17"/>
  <c r="K101" i="17"/>
  <c r="K100" i="17"/>
  <c r="K99" i="17"/>
  <c r="K98" i="17"/>
  <c r="K97" i="17"/>
  <c r="C97" i="17"/>
  <c r="K96" i="17"/>
  <c r="C96" i="17"/>
  <c r="L126" i="17" s="1"/>
  <c r="K95" i="17"/>
  <c r="C95" i="17"/>
  <c r="L118" i="17" s="1"/>
  <c r="K94" i="17"/>
  <c r="C94" i="17"/>
  <c r="L123" i="17" s="1"/>
  <c r="L125" i="17" s="1"/>
  <c r="K93" i="17"/>
  <c r="C93" i="17"/>
  <c r="L115" i="17" s="1"/>
  <c r="K92" i="17"/>
  <c r="C92" i="17"/>
  <c r="L117" i="17" s="1"/>
  <c r="K91" i="17"/>
  <c r="C91" i="17"/>
  <c r="L116" i="17" s="1"/>
  <c r="K90" i="17"/>
  <c r="C90" i="17"/>
  <c r="E87" i="17"/>
  <c r="E84" i="17"/>
  <c r="C84" i="17"/>
  <c r="E83" i="17"/>
  <c r="C83" i="17"/>
  <c r="E82" i="17"/>
  <c r="C82" i="17"/>
  <c r="E81" i="17"/>
  <c r="C81" i="17"/>
  <c r="E80" i="17"/>
  <c r="C80" i="17"/>
  <c r="E79" i="17"/>
  <c r="C79" i="17"/>
  <c r="E78" i="17"/>
  <c r="C78" i="17"/>
  <c r="E77" i="17"/>
  <c r="C77" i="17"/>
  <c r="E76" i="17"/>
  <c r="C76" i="17"/>
  <c r="E75" i="17"/>
  <c r="C75" i="17"/>
  <c r="E74" i="17"/>
  <c r="X73" i="17"/>
  <c r="E73" i="17"/>
  <c r="C73" i="17"/>
  <c r="X72" i="17"/>
  <c r="E72" i="17"/>
  <c r="C72" i="17"/>
  <c r="E71" i="17"/>
  <c r="C71" i="17"/>
  <c r="E70" i="17"/>
  <c r="C70" i="17"/>
  <c r="E69" i="17"/>
  <c r="C69" i="17"/>
  <c r="C59" i="17"/>
  <c r="K58" i="17"/>
  <c r="R40" i="17"/>
  <c r="V38" i="17"/>
  <c r="D35" i="17"/>
  <c r="F33" i="17"/>
  <c r="D33" i="17"/>
  <c r="D31" i="17"/>
  <c r="D29" i="17"/>
  <c r="D27" i="17"/>
  <c r="I25" i="17"/>
  <c r="R24" i="17"/>
  <c r="D20" i="17" s="1"/>
  <c r="N27" i="30" l="1"/>
  <c r="N47" i="4"/>
  <c r="C139" i="17"/>
  <c r="C140" i="17" s="1"/>
  <c r="O163" i="17"/>
  <c r="P5" i="4"/>
  <c r="Q5" i="4" s="1"/>
  <c r="R5" i="4" s="1"/>
  <c r="O162" i="17"/>
  <c r="N31" i="30"/>
  <c r="E10" i="31"/>
  <c r="Q162" i="17"/>
  <c r="AQ74" i="28"/>
  <c r="N111" i="30"/>
  <c r="E21" i="31"/>
  <c r="H21" i="31" s="1"/>
  <c r="L21" i="31" s="1"/>
  <c r="AO68" i="24"/>
  <c r="AO80" i="24"/>
  <c r="AO69" i="24"/>
  <c r="K54" i="24"/>
  <c r="E35" i="24"/>
  <c r="AN73" i="28"/>
  <c r="AN74" i="28" s="1"/>
  <c r="N31" i="29"/>
  <c r="D10" i="31"/>
  <c r="N34" i="30"/>
  <c r="E13" i="31"/>
  <c r="H13" i="31" s="1"/>
  <c r="L13" i="31" s="1"/>
  <c r="AO16" i="30"/>
  <c r="H16" i="31"/>
  <c r="Q161" i="17"/>
  <c r="AH43" i="25"/>
  <c r="H34" i="26"/>
  <c r="L34" i="26" s="1"/>
  <c r="H53" i="26"/>
  <c r="J53" i="26" s="1"/>
  <c r="H55" i="26"/>
  <c r="J55" i="26" s="1"/>
  <c r="H52" i="26"/>
  <c r="H35" i="26"/>
  <c r="J35" i="26" s="1"/>
  <c r="H48" i="26"/>
  <c r="H54" i="31"/>
  <c r="AG5" i="25"/>
  <c r="AG48" i="25"/>
  <c r="AN49" i="25"/>
  <c r="AN50" i="25" s="1"/>
  <c r="AQ50" i="25"/>
  <c r="AN78" i="25"/>
  <c r="AO80" i="25" s="1"/>
  <c r="Q38" i="25"/>
  <c r="S38" i="25"/>
  <c r="P38" i="25"/>
  <c r="O38" i="25"/>
  <c r="D17" i="26"/>
  <c r="R38" i="25"/>
  <c r="AP50" i="25"/>
  <c r="AH76" i="25"/>
  <c r="AP47" i="25"/>
  <c r="N38" i="25"/>
  <c r="AH46" i="25"/>
  <c r="AO52" i="25"/>
  <c r="AH70" i="25"/>
  <c r="AH73" i="25"/>
  <c r="N28" i="25"/>
  <c r="AO54" i="25"/>
  <c r="K49" i="25"/>
  <c r="E30" i="25"/>
  <c r="D30" i="25" s="1"/>
  <c r="AH63" i="25"/>
  <c r="AH64" i="25" s="1"/>
  <c r="AO64" i="25"/>
  <c r="AO47" i="25"/>
  <c r="AO50" i="25"/>
  <c r="AG61" i="25"/>
  <c r="AG45" i="25"/>
  <c r="AN46" i="25"/>
  <c r="AN47" i="25" s="1"/>
  <c r="AQ47" i="25"/>
  <c r="N37" i="25"/>
  <c r="AN75" i="25"/>
  <c r="AO77" i="25" s="1"/>
  <c r="AH66" i="25"/>
  <c r="AH67" i="25" s="1"/>
  <c r="AO67" i="25"/>
  <c r="N26" i="25"/>
  <c r="AN42" i="25"/>
  <c r="AO44" i="25" s="1"/>
  <c r="AP77" i="25"/>
  <c r="AG58" i="25"/>
  <c r="AH49" i="25"/>
  <c r="J24" i="31"/>
  <c r="K24" i="31"/>
  <c r="K120" i="24"/>
  <c r="AO11" i="24"/>
  <c r="E112" i="24"/>
  <c r="K21" i="31"/>
  <c r="AG78" i="24"/>
  <c r="AN79" i="24"/>
  <c r="AN80" i="24" s="1"/>
  <c r="AQ80" i="24"/>
  <c r="AP80" i="24"/>
  <c r="H17" i="31"/>
  <c r="AH73" i="24"/>
  <c r="AN67" i="24"/>
  <c r="AN68" i="24" s="1"/>
  <c r="AG66" i="24"/>
  <c r="AF67" i="24" s="1"/>
  <c r="AF68" i="24" s="1"/>
  <c r="AQ68" i="24"/>
  <c r="D33" i="24"/>
  <c r="N33" i="24" s="1"/>
  <c r="AH63" i="24"/>
  <c r="AH64" i="24" s="1"/>
  <c r="AH65" i="24" s="1"/>
  <c r="AO64" i="24"/>
  <c r="AH58" i="24"/>
  <c r="AH59" i="24" s="1"/>
  <c r="AI58" i="24"/>
  <c r="AI59" i="24" s="1"/>
  <c r="H9" i="31"/>
  <c r="AG54" i="24"/>
  <c r="AN55" i="24"/>
  <c r="AN56" i="24" s="1"/>
  <c r="AQ56" i="24"/>
  <c r="AO56" i="24"/>
  <c r="H8" i="31"/>
  <c r="L8" i="31" s="1"/>
  <c r="AG51" i="24"/>
  <c r="AN52" i="24"/>
  <c r="AN53" i="24" s="1"/>
  <c r="AQ53" i="24"/>
  <c r="AP53" i="24"/>
  <c r="AO53" i="24"/>
  <c r="AO48" i="24"/>
  <c r="K47" i="24"/>
  <c r="E28" i="24"/>
  <c r="AI46" i="24"/>
  <c r="AI47" i="24" s="1"/>
  <c r="AO45" i="24"/>
  <c r="K46" i="24"/>
  <c r="E27" i="24"/>
  <c r="K5" i="31"/>
  <c r="J5" i="31"/>
  <c r="AG43" i="24"/>
  <c r="AG44" i="24" s="1"/>
  <c r="D25" i="24"/>
  <c r="N25" i="24" s="1"/>
  <c r="AH39" i="24"/>
  <c r="AH40" i="24" s="1"/>
  <c r="AH41" i="24" s="1"/>
  <c r="AO40" i="24"/>
  <c r="D24" i="24"/>
  <c r="N24" i="24"/>
  <c r="AH36" i="24"/>
  <c r="AO37" i="24"/>
  <c r="AN12" i="29"/>
  <c r="AN13" i="29" s="1"/>
  <c r="AG11" i="29"/>
  <c r="AP13" i="29"/>
  <c r="AQ13" i="29"/>
  <c r="AO13" i="29"/>
  <c r="AK7" i="30"/>
  <c r="AN12" i="30"/>
  <c r="AN13" i="30" s="1"/>
  <c r="AG11" i="30"/>
  <c r="AQ13" i="30"/>
  <c r="AP13" i="30"/>
  <c r="AQ16" i="30"/>
  <c r="AN15" i="30"/>
  <c r="AN16" i="30" s="1"/>
  <c r="AG14" i="30"/>
  <c r="AP16" i="30"/>
  <c r="AP74" i="30"/>
  <c r="AQ74" i="30"/>
  <c r="AN73" i="30"/>
  <c r="AN74" i="30" s="1"/>
  <c r="AG72" i="30"/>
  <c r="AG79" i="30"/>
  <c r="AG80" i="30" s="1"/>
  <c r="AF79" i="30"/>
  <c r="AF80" i="30" s="1"/>
  <c r="Q27" i="30"/>
  <c r="P27" i="30"/>
  <c r="AN45" i="30"/>
  <c r="AO47" i="30" s="1"/>
  <c r="O27" i="30"/>
  <c r="S27" i="30"/>
  <c r="R27" i="30"/>
  <c r="AK7" i="29"/>
  <c r="AG79" i="29"/>
  <c r="AG80" i="29" s="1"/>
  <c r="AF79" i="29"/>
  <c r="AF80" i="29" s="1"/>
  <c r="AP53" i="29"/>
  <c r="AG51" i="29"/>
  <c r="AQ53" i="29"/>
  <c r="AN52" i="29"/>
  <c r="AN53" i="29" s="1"/>
  <c r="AN76" i="30"/>
  <c r="AN77" i="30" s="1"/>
  <c r="AG75" i="30"/>
  <c r="AQ77" i="30"/>
  <c r="AP77" i="30"/>
  <c r="O111" i="30"/>
  <c r="S111" i="30"/>
  <c r="R111" i="30"/>
  <c r="Q111" i="30"/>
  <c r="AN8" i="30"/>
  <c r="AO10" i="30" s="1"/>
  <c r="P111" i="30"/>
  <c r="S31" i="30"/>
  <c r="R31" i="30"/>
  <c r="Q31" i="30"/>
  <c r="P31" i="30"/>
  <c r="AN57" i="30"/>
  <c r="O31" i="30"/>
  <c r="AO77" i="30"/>
  <c r="AG52" i="30"/>
  <c r="AG53" i="30" s="1"/>
  <c r="AF52" i="30"/>
  <c r="AF53" i="30" s="1"/>
  <c r="AN66" i="30"/>
  <c r="AO68" i="30" s="1"/>
  <c r="S34" i="30"/>
  <c r="R34" i="30"/>
  <c r="Q34" i="30"/>
  <c r="P34" i="30"/>
  <c r="O34" i="30"/>
  <c r="AN55" i="30"/>
  <c r="AN56" i="30" s="1"/>
  <c r="AG54" i="30"/>
  <c r="AQ56" i="30"/>
  <c r="AP56" i="30"/>
  <c r="AG48" i="30"/>
  <c r="AQ50" i="30"/>
  <c r="AN49" i="30"/>
  <c r="AN50" i="30" s="1"/>
  <c r="AP50" i="30"/>
  <c r="AN61" i="30"/>
  <c r="AN62" i="30" s="1"/>
  <c r="AG60" i="30"/>
  <c r="AQ62" i="30"/>
  <c r="AP62" i="30"/>
  <c r="AO50" i="30"/>
  <c r="AG42" i="30"/>
  <c r="AN43" i="30"/>
  <c r="AN44" i="30" s="1"/>
  <c r="AQ44" i="30"/>
  <c r="AP44" i="30"/>
  <c r="AN64" i="30"/>
  <c r="AN65" i="30" s="1"/>
  <c r="AG63" i="30"/>
  <c r="AQ65" i="30"/>
  <c r="AP65" i="30"/>
  <c r="AG37" i="30"/>
  <c r="AG38" i="30" s="1"/>
  <c r="AF37" i="30"/>
  <c r="AF38" i="30" s="1"/>
  <c r="AN70" i="30"/>
  <c r="AN71" i="30" s="1"/>
  <c r="AG69" i="30"/>
  <c r="AQ71" i="30"/>
  <c r="AP71" i="30"/>
  <c r="AO56" i="30"/>
  <c r="AG36" i="29"/>
  <c r="AN37" i="29"/>
  <c r="AN38" i="29" s="1"/>
  <c r="AQ38" i="29"/>
  <c r="AP38" i="29"/>
  <c r="AG40" i="29"/>
  <c r="AG41" i="29" s="1"/>
  <c r="AF40" i="29"/>
  <c r="AF41" i="29" s="1"/>
  <c r="AN9" i="29"/>
  <c r="AN10" i="29" s="1"/>
  <c r="AG8" i="29"/>
  <c r="AQ10" i="29"/>
  <c r="AP10" i="29"/>
  <c r="AG69" i="29"/>
  <c r="AN70" i="29"/>
  <c r="AN71" i="29" s="1"/>
  <c r="AQ71" i="29"/>
  <c r="AP71" i="29"/>
  <c r="AN15" i="29"/>
  <c r="AN16" i="29" s="1"/>
  <c r="AG14" i="29"/>
  <c r="AQ16" i="29"/>
  <c r="AP16" i="29"/>
  <c r="AG46" i="29"/>
  <c r="AG47" i="29" s="1"/>
  <c r="AF46" i="29"/>
  <c r="AF47" i="29" s="1"/>
  <c r="AO10" i="29"/>
  <c r="AN64" i="29"/>
  <c r="AN65" i="29" s="1"/>
  <c r="AG63" i="29"/>
  <c r="AQ65" i="29"/>
  <c r="AP65" i="29"/>
  <c r="AN49" i="29"/>
  <c r="AN50" i="29" s="1"/>
  <c r="AG48" i="29"/>
  <c r="AQ50" i="29"/>
  <c r="AP50" i="29"/>
  <c r="AG75" i="29"/>
  <c r="AN76" i="29"/>
  <c r="AN77" i="29" s="1"/>
  <c r="AQ77" i="29"/>
  <c r="AP77" i="29"/>
  <c r="AO38" i="29"/>
  <c r="AO50" i="29"/>
  <c r="AG54" i="29"/>
  <c r="AN55" i="29"/>
  <c r="AN56" i="29" s="1"/>
  <c r="AQ56" i="29"/>
  <c r="AP56" i="29"/>
  <c r="AO77" i="29"/>
  <c r="AN66" i="29"/>
  <c r="AO68" i="29" s="1"/>
  <c r="R34" i="29"/>
  <c r="Q34" i="29"/>
  <c r="P34" i="29"/>
  <c r="O34" i="29"/>
  <c r="S34" i="29"/>
  <c r="AO16" i="29"/>
  <c r="AN43" i="29"/>
  <c r="AN44" i="29" s="1"/>
  <c r="AG42" i="29"/>
  <c r="AQ44" i="29"/>
  <c r="AP44" i="29"/>
  <c r="AG60" i="29"/>
  <c r="AN61" i="29"/>
  <c r="AN62" i="29" s="1"/>
  <c r="AQ62" i="29"/>
  <c r="AP62" i="29"/>
  <c r="AN57" i="29"/>
  <c r="AO59" i="29" s="1"/>
  <c r="R31" i="29"/>
  <c r="Q31" i="29"/>
  <c r="P31" i="29"/>
  <c r="O31" i="29"/>
  <c r="S31" i="29"/>
  <c r="N34" i="29"/>
  <c r="H17" i="26"/>
  <c r="AO74" i="28"/>
  <c r="N24" i="28"/>
  <c r="E3" i="26"/>
  <c r="N33" i="28"/>
  <c r="E12" i="26"/>
  <c r="N35" i="28"/>
  <c r="E14" i="26"/>
  <c r="N37" i="28"/>
  <c r="E16" i="26"/>
  <c r="N25" i="28"/>
  <c r="E4" i="26"/>
  <c r="N31" i="28"/>
  <c r="E10" i="26"/>
  <c r="N30" i="28"/>
  <c r="E9" i="26"/>
  <c r="N114" i="28"/>
  <c r="E24" i="26"/>
  <c r="P114" i="28"/>
  <c r="AN14" i="28"/>
  <c r="S114" i="28"/>
  <c r="O114" i="28"/>
  <c r="R114" i="28"/>
  <c r="Q114" i="28"/>
  <c r="AO15" i="28"/>
  <c r="AH14" i="28"/>
  <c r="AH15" i="28" s="1"/>
  <c r="AH16" i="28" s="1"/>
  <c r="AH51" i="28"/>
  <c r="AH52" i="28" s="1"/>
  <c r="AH53" i="28" s="1"/>
  <c r="AO52" i="28"/>
  <c r="D29" i="28"/>
  <c r="AO6" i="28"/>
  <c r="AH5" i="28"/>
  <c r="AH6" i="28" s="1"/>
  <c r="AH7" i="28" s="1"/>
  <c r="AN48" i="28"/>
  <c r="AO50" i="28" s="1"/>
  <c r="R28" i="28"/>
  <c r="Q28" i="28"/>
  <c r="P28" i="28"/>
  <c r="O28" i="28"/>
  <c r="S28" i="28"/>
  <c r="AO9" i="28"/>
  <c r="AH8" i="28"/>
  <c r="AH9" i="28" s="1"/>
  <c r="AH10" i="28" s="1"/>
  <c r="AG73" i="28"/>
  <c r="AG74" i="28" s="1"/>
  <c r="AF73" i="28"/>
  <c r="AF74" i="28" s="1"/>
  <c r="AN79" i="28"/>
  <c r="AN80" i="28" s="1"/>
  <c r="AG78" i="28"/>
  <c r="AQ80" i="28"/>
  <c r="AP80" i="28"/>
  <c r="Q37" i="28"/>
  <c r="O37" i="28"/>
  <c r="AN75" i="28"/>
  <c r="AO77" i="28" s="1"/>
  <c r="P37" i="28"/>
  <c r="S37" i="28"/>
  <c r="R37" i="28"/>
  <c r="AN42" i="28"/>
  <c r="AO44" i="28" s="1"/>
  <c r="R26" i="28"/>
  <c r="Q26" i="28"/>
  <c r="P26" i="28"/>
  <c r="O26" i="28"/>
  <c r="S26" i="28"/>
  <c r="D27" i="28"/>
  <c r="E6" i="26" s="1"/>
  <c r="D113" i="28"/>
  <c r="E23" i="26" s="1"/>
  <c r="R35" i="28"/>
  <c r="AN69" i="28"/>
  <c r="Q35" i="28"/>
  <c r="P35" i="28"/>
  <c r="O35" i="28"/>
  <c r="S35" i="28"/>
  <c r="AG12" i="28"/>
  <c r="AG13" i="28" s="1"/>
  <c r="AF12" i="28"/>
  <c r="AF13" i="28" s="1"/>
  <c r="AG61" i="28"/>
  <c r="AG62" i="28" s="1"/>
  <c r="AF61" i="28"/>
  <c r="AF62" i="28" s="1"/>
  <c r="AO67" i="28"/>
  <c r="AH66" i="28"/>
  <c r="AH67" i="28" s="1"/>
  <c r="AH68" i="28" s="1"/>
  <c r="R24" i="28"/>
  <c r="Q24" i="28"/>
  <c r="P24" i="28"/>
  <c r="O24" i="28"/>
  <c r="AN36" i="28"/>
  <c r="S24" i="28"/>
  <c r="D111" i="28"/>
  <c r="E21" i="26" s="1"/>
  <c r="AN54" i="28"/>
  <c r="AO56" i="28" s="1"/>
  <c r="R30" i="28"/>
  <c r="Q30" i="28"/>
  <c r="P30" i="28"/>
  <c r="O30" i="28"/>
  <c r="S30" i="28"/>
  <c r="AO71" i="28"/>
  <c r="AH45" i="28"/>
  <c r="AH46" i="28" s="1"/>
  <c r="AH47" i="28" s="1"/>
  <c r="AO46" i="28"/>
  <c r="R33" i="28"/>
  <c r="AN63" i="28"/>
  <c r="Q33" i="28"/>
  <c r="P33" i="28"/>
  <c r="S33" i="28"/>
  <c r="O33" i="28"/>
  <c r="D34" i="28"/>
  <c r="N26" i="28"/>
  <c r="AN57" i="28"/>
  <c r="R31" i="28"/>
  <c r="Q31" i="28"/>
  <c r="P31" i="28"/>
  <c r="O31" i="28"/>
  <c r="S31" i="28"/>
  <c r="N28" i="28"/>
  <c r="AR13" i="28"/>
  <c r="R25" i="28"/>
  <c r="Q25" i="28"/>
  <c r="AN39" i="28"/>
  <c r="AO41" i="28" s="1"/>
  <c r="P25" i="28"/>
  <c r="S25" i="28"/>
  <c r="O25" i="28"/>
  <c r="D112" i="25"/>
  <c r="N112" i="25" s="1"/>
  <c r="AH11" i="25"/>
  <c r="AH12" i="25" s="1"/>
  <c r="AH13" i="25" s="1"/>
  <c r="AO12" i="25"/>
  <c r="D24" i="25"/>
  <c r="AN36" i="25" s="1"/>
  <c r="AP38" i="25" s="1"/>
  <c r="D114" i="25"/>
  <c r="AH14" i="25"/>
  <c r="AH15" i="25" s="1"/>
  <c r="AH16" i="25" s="1"/>
  <c r="AO15" i="25"/>
  <c r="D31" i="24"/>
  <c r="N31" i="24"/>
  <c r="AG8" i="24"/>
  <c r="AN9" i="24"/>
  <c r="AN10" i="24" s="1"/>
  <c r="AO10" i="24"/>
  <c r="AP10" i="24"/>
  <c r="D32" i="24"/>
  <c r="N32" i="24" s="1"/>
  <c r="K121" i="24"/>
  <c r="AO5" i="24"/>
  <c r="E113" i="24"/>
  <c r="AG14" i="24"/>
  <c r="AN15" i="24"/>
  <c r="AN16" i="24" s="1"/>
  <c r="AQ16" i="24"/>
  <c r="AO16" i="24"/>
  <c r="AF5" i="24"/>
  <c r="N105" i="24"/>
  <c r="Q105" i="24"/>
  <c r="O105" i="24"/>
  <c r="P105" i="24"/>
  <c r="F54" i="26"/>
  <c r="P37" i="25"/>
  <c r="Q37" i="25"/>
  <c r="O37" i="25"/>
  <c r="S37" i="25"/>
  <c r="R37" i="25"/>
  <c r="D16" i="26"/>
  <c r="D35" i="25"/>
  <c r="D34" i="25"/>
  <c r="AN66" i="25" s="1"/>
  <c r="AN67" i="25" s="1"/>
  <c r="AN68" i="25" s="1"/>
  <c r="D33" i="25"/>
  <c r="AN63" i="25" s="1"/>
  <c r="D13" i="25"/>
  <c r="AF60" i="25" s="1"/>
  <c r="AH62" i="25" s="1"/>
  <c r="D12" i="25"/>
  <c r="AF57" i="25" s="1"/>
  <c r="AF58" i="25" s="1"/>
  <c r="AF59" i="25" s="1"/>
  <c r="D11" i="25"/>
  <c r="AF54" i="25" s="1"/>
  <c r="AJ56" i="25" s="1"/>
  <c r="D29" i="25"/>
  <c r="AN51" i="25" s="1"/>
  <c r="AP53" i="25" s="1"/>
  <c r="N29" i="25"/>
  <c r="P28" i="25"/>
  <c r="S28" i="25"/>
  <c r="D7" i="26"/>
  <c r="Q28" i="25"/>
  <c r="R28" i="25"/>
  <c r="O28" i="25"/>
  <c r="N27" i="25"/>
  <c r="P27" i="25"/>
  <c r="Q27" i="25"/>
  <c r="S27" i="25"/>
  <c r="R27" i="25"/>
  <c r="O27" i="25"/>
  <c r="D6" i="26"/>
  <c r="Q26" i="25"/>
  <c r="D5" i="26"/>
  <c r="P26" i="25"/>
  <c r="O26" i="25"/>
  <c r="R26" i="25"/>
  <c r="S26" i="25"/>
  <c r="AO6" i="25"/>
  <c r="AI16" i="25"/>
  <c r="AJ16" i="25"/>
  <c r="AI13" i="25"/>
  <c r="AJ13" i="25"/>
  <c r="AF9" i="25"/>
  <c r="AF10" i="25" s="1"/>
  <c r="AJ10" i="25"/>
  <c r="AG10" i="25"/>
  <c r="AI10" i="25"/>
  <c r="AH10" i="25"/>
  <c r="N113" i="25"/>
  <c r="D23" i="26"/>
  <c r="D36" i="24"/>
  <c r="D36" i="25"/>
  <c r="O113" i="25"/>
  <c r="S113" i="25"/>
  <c r="P113" i="25"/>
  <c r="R113" i="25"/>
  <c r="Q113" i="25"/>
  <c r="O126" i="17"/>
  <c r="L132" i="17"/>
  <c r="M132" i="17" s="1"/>
  <c r="D21" i="17"/>
  <c r="G20" i="17"/>
  <c r="F78" i="17"/>
  <c r="D30" i="17"/>
  <c r="D26" i="17"/>
  <c r="D34" i="17"/>
  <c r="D28" i="17"/>
  <c r="D32" i="17"/>
  <c r="M120" i="17"/>
  <c r="L124" i="17"/>
  <c r="Q164" i="17"/>
  <c r="C77" i="4"/>
  <c r="C78" i="4" s="1"/>
  <c r="C63" i="4"/>
  <c r="C64" i="4" s="1"/>
  <c r="J21" i="31" l="1"/>
  <c r="N34" i="25"/>
  <c r="J16" i="31"/>
  <c r="K16" i="31"/>
  <c r="L16" i="31"/>
  <c r="D35" i="24"/>
  <c r="N35" i="24" s="1"/>
  <c r="AO70" i="24"/>
  <c r="AH69" i="24"/>
  <c r="AH70" i="24" s="1"/>
  <c r="AH71" i="24" s="1"/>
  <c r="J34" i="26"/>
  <c r="K34" i="26"/>
  <c r="AO68" i="25"/>
  <c r="AG62" i="25"/>
  <c r="AI56" i="25"/>
  <c r="K52" i="26"/>
  <c r="L52" i="26"/>
  <c r="K53" i="26"/>
  <c r="L53" i="26"/>
  <c r="J52" i="26"/>
  <c r="K55" i="26"/>
  <c r="L55" i="26"/>
  <c r="AF61" i="25"/>
  <c r="AF62" i="25" s="1"/>
  <c r="K35" i="26"/>
  <c r="L35" i="26"/>
  <c r="AJ59" i="25"/>
  <c r="AI59" i="25"/>
  <c r="AH59" i="25"/>
  <c r="AG59" i="25"/>
  <c r="L48" i="26"/>
  <c r="K48" i="26"/>
  <c r="AJ62" i="25"/>
  <c r="AI62" i="25"/>
  <c r="J48" i="26"/>
  <c r="L54" i="31"/>
  <c r="K54" i="31"/>
  <c r="J54" i="31"/>
  <c r="N35" i="25"/>
  <c r="AN69" i="25"/>
  <c r="AG78" i="25"/>
  <c r="AN79" i="25"/>
  <c r="AN80" i="25" s="1"/>
  <c r="AQ80" i="25"/>
  <c r="AP80" i="25"/>
  <c r="AN52" i="25"/>
  <c r="AN53" i="25" s="1"/>
  <c r="AG51" i="25"/>
  <c r="AQ53" i="25"/>
  <c r="AH54" i="25"/>
  <c r="AH55" i="25" s="1"/>
  <c r="AH56" i="25" s="1"/>
  <c r="AO55" i="25"/>
  <c r="AN37" i="25"/>
  <c r="AN38" i="25" s="1"/>
  <c r="AG36" i="25"/>
  <c r="AQ38" i="25"/>
  <c r="AG63" i="25"/>
  <c r="AN64" i="25"/>
  <c r="AN65" i="25" s="1"/>
  <c r="AQ65" i="25"/>
  <c r="AG42" i="25"/>
  <c r="AN43" i="25"/>
  <c r="AN44" i="25" s="1"/>
  <c r="AQ44" i="25"/>
  <c r="AO38" i="25"/>
  <c r="AP44" i="25"/>
  <c r="D17" i="25"/>
  <c r="AF72" i="25" s="1"/>
  <c r="AN72" i="25"/>
  <c r="AG66" i="25"/>
  <c r="AQ68" i="25"/>
  <c r="N24" i="25"/>
  <c r="AP68" i="25"/>
  <c r="AN76" i="25"/>
  <c r="AN77" i="25" s="1"/>
  <c r="AG75" i="25"/>
  <c r="AQ77" i="25"/>
  <c r="AG46" i="25"/>
  <c r="AO65" i="25"/>
  <c r="N30" i="25"/>
  <c r="AN54" i="25"/>
  <c r="Q30" i="25"/>
  <c r="O30" i="25"/>
  <c r="D9" i="26"/>
  <c r="H9" i="26" s="1"/>
  <c r="R30" i="25"/>
  <c r="S30" i="25"/>
  <c r="P30" i="25"/>
  <c r="AO53" i="25"/>
  <c r="AP65" i="25"/>
  <c r="AG49" i="25"/>
  <c r="AG50" i="25" s="1"/>
  <c r="D112" i="24"/>
  <c r="AH11" i="24"/>
  <c r="AH12" i="24" s="1"/>
  <c r="AH13" i="24" s="1"/>
  <c r="AO12" i="24"/>
  <c r="L17" i="31"/>
  <c r="K17" i="31"/>
  <c r="J17" i="31"/>
  <c r="AG79" i="24"/>
  <c r="AG80" i="24" s="1"/>
  <c r="AF79" i="24"/>
  <c r="AF80" i="24" s="1"/>
  <c r="N36" i="24"/>
  <c r="F15" i="31"/>
  <c r="AN72" i="24"/>
  <c r="K13" i="31"/>
  <c r="J13" i="31"/>
  <c r="AG67" i="24"/>
  <c r="AG68" i="24" s="1"/>
  <c r="F12" i="31"/>
  <c r="AN63" i="24"/>
  <c r="S33" i="24"/>
  <c r="P33" i="24"/>
  <c r="Q33" i="24"/>
  <c r="F12" i="26"/>
  <c r="R33" i="24"/>
  <c r="O33" i="24"/>
  <c r="F11" i="31"/>
  <c r="AN60" i="24"/>
  <c r="F10" i="31"/>
  <c r="AN57" i="24"/>
  <c r="AF55" i="24"/>
  <c r="AF56" i="24" s="1"/>
  <c r="AG55" i="24"/>
  <c r="AG56" i="24" s="1"/>
  <c r="L9" i="31"/>
  <c r="K9" i="31"/>
  <c r="J9" i="31"/>
  <c r="K8" i="31"/>
  <c r="J8" i="31"/>
  <c r="AF52" i="24"/>
  <c r="AF53" i="24" s="1"/>
  <c r="AG52" i="24"/>
  <c r="AG53" i="24" s="1"/>
  <c r="AH48" i="24"/>
  <c r="AH49" i="24" s="1"/>
  <c r="AH50" i="24" s="1"/>
  <c r="AO49" i="24"/>
  <c r="D28" i="24"/>
  <c r="N28" i="24"/>
  <c r="AO46" i="24"/>
  <c r="AH45" i="24"/>
  <c r="AH46" i="24" s="1"/>
  <c r="AH47" i="24" s="1"/>
  <c r="D27" i="24"/>
  <c r="N27" i="24" s="1"/>
  <c r="F4" i="31"/>
  <c r="AN39" i="24"/>
  <c r="F4" i="26"/>
  <c r="P25" i="24"/>
  <c r="O25" i="24"/>
  <c r="R25" i="24"/>
  <c r="Q25" i="24"/>
  <c r="S25" i="24"/>
  <c r="AH37" i="24"/>
  <c r="AH38" i="24" s="1"/>
  <c r="F3" i="31"/>
  <c r="AN36" i="24"/>
  <c r="Q24" i="24"/>
  <c r="R24" i="24"/>
  <c r="O24" i="24"/>
  <c r="F3" i="26"/>
  <c r="S24" i="24"/>
  <c r="P24" i="24"/>
  <c r="H21" i="26"/>
  <c r="L17" i="26"/>
  <c r="J17" i="26"/>
  <c r="K17" i="26"/>
  <c r="AG12" i="29"/>
  <c r="AG13" i="29" s="1"/>
  <c r="AF12" i="29"/>
  <c r="AF13" i="29" s="1"/>
  <c r="AR13" i="29"/>
  <c r="AR13" i="30"/>
  <c r="AG15" i="30"/>
  <c r="AG16" i="30" s="1"/>
  <c r="AF15" i="30"/>
  <c r="AF16" i="30" s="1"/>
  <c r="AR16" i="30"/>
  <c r="AF12" i="30"/>
  <c r="AF13" i="30" s="1"/>
  <c r="AG12" i="30"/>
  <c r="AG13" i="30" s="1"/>
  <c r="AG73" i="30"/>
  <c r="AG74" i="30" s="1"/>
  <c r="AF73" i="30"/>
  <c r="AF74" i="30" s="1"/>
  <c r="AQ47" i="30"/>
  <c r="AG45" i="30"/>
  <c r="AN46" i="30"/>
  <c r="AN47" i="30" s="1"/>
  <c r="AP47" i="30"/>
  <c r="AG52" i="29"/>
  <c r="AG53" i="29" s="1"/>
  <c r="AF52" i="29"/>
  <c r="AF53" i="29" s="1"/>
  <c r="AG49" i="30"/>
  <c r="AG50" i="30" s="1"/>
  <c r="AF49" i="30"/>
  <c r="AF50" i="30" s="1"/>
  <c r="AN58" i="30"/>
  <c r="AN59" i="30" s="1"/>
  <c r="AG57" i="30"/>
  <c r="AQ59" i="30"/>
  <c r="AP59" i="30"/>
  <c r="AG64" i="30"/>
  <c r="AG65" i="30" s="1"/>
  <c r="AF64" i="30"/>
  <c r="AF65" i="30" s="1"/>
  <c r="AG70" i="30"/>
  <c r="AG71" i="30" s="1"/>
  <c r="AF70" i="30"/>
  <c r="AF71" i="30" s="1"/>
  <c r="AG61" i="30"/>
  <c r="AG62" i="30" s="1"/>
  <c r="AF61" i="30"/>
  <c r="AF62" i="30" s="1"/>
  <c r="AG55" i="30"/>
  <c r="AG56" i="30" s="1"/>
  <c r="AF55" i="30"/>
  <c r="AF56" i="30" s="1"/>
  <c r="AG66" i="30"/>
  <c r="AN67" i="30"/>
  <c r="AN68" i="30" s="1"/>
  <c r="AQ68" i="30"/>
  <c r="AP68" i="30"/>
  <c r="AO59" i="30"/>
  <c r="AG76" i="30"/>
  <c r="AG77" i="30" s="1"/>
  <c r="AF76" i="30"/>
  <c r="AF77" i="30" s="1"/>
  <c r="AG43" i="30"/>
  <c r="AG44" i="30" s="1"/>
  <c r="AF43" i="30"/>
  <c r="AF44" i="30" s="1"/>
  <c r="AN9" i="30"/>
  <c r="AN10" i="30" s="1"/>
  <c r="AG8" i="30"/>
  <c r="AQ10" i="30"/>
  <c r="AP10" i="30"/>
  <c r="AG9" i="29"/>
  <c r="AG10" i="29" s="1"/>
  <c r="AF9" i="29"/>
  <c r="AF10" i="29" s="1"/>
  <c r="AG76" i="29"/>
  <c r="AG77" i="29" s="1"/>
  <c r="AF76" i="29"/>
  <c r="AF77" i="29" s="1"/>
  <c r="AR16" i="29"/>
  <c r="AR10" i="29"/>
  <c r="AG61" i="29"/>
  <c r="AG62" i="29" s="1"/>
  <c r="AF61" i="29"/>
  <c r="AF62" i="29" s="1"/>
  <c r="AG55" i="29"/>
  <c r="AG56" i="29" s="1"/>
  <c r="AF55" i="29"/>
  <c r="AF56" i="29" s="1"/>
  <c r="AG49" i="29"/>
  <c r="AG50" i="29" s="1"/>
  <c r="AF49" i="29"/>
  <c r="AF50" i="29" s="1"/>
  <c r="AG15" i="29"/>
  <c r="AG16" i="29" s="1"/>
  <c r="AF15" i="29"/>
  <c r="AF16" i="29" s="1"/>
  <c r="AG70" i="29"/>
  <c r="AG71" i="29" s="1"/>
  <c r="AF70" i="29"/>
  <c r="AF71" i="29" s="1"/>
  <c r="AG43" i="29"/>
  <c r="AG44" i="29" s="1"/>
  <c r="AF43" i="29"/>
  <c r="AF44" i="29" s="1"/>
  <c r="AG66" i="29"/>
  <c r="AN67" i="29"/>
  <c r="AN68" i="29" s="1"/>
  <c r="AQ68" i="29"/>
  <c r="AP68" i="29"/>
  <c r="AG64" i="29"/>
  <c r="AG65" i="29" s="1"/>
  <c r="AF64" i="29"/>
  <c r="AF65" i="29" s="1"/>
  <c r="AG57" i="29"/>
  <c r="AN58" i="29"/>
  <c r="AN59" i="29" s="1"/>
  <c r="AQ59" i="29"/>
  <c r="AP59" i="29"/>
  <c r="AG37" i="29"/>
  <c r="AG38" i="29" s="1"/>
  <c r="AF37" i="29"/>
  <c r="AF38" i="29" s="1"/>
  <c r="H16" i="26"/>
  <c r="H5" i="26"/>
  <c r="H4" i="26"/>
  <c r="K4" i="26" s="1"/>
  <c r="N34" i="28"/>
  <c r="E13" i="26"/>
  <c r="N29" i="28"/>
  <c r="E8" i="26"/>
  <c r="AO16" i="28"/>
  <c r="AN15" i="28"/>
  <c r="AN16" i="28" s="1"/>
  <c r="AG14" i="28"/>
  <c r="AP16" i="28"/>
  <c r="AQ16" i="28"/>
  <c r="S29" i="28"/>
  <c r="O29" i="28"/>
  <c r="AN51" i="28"/>
  <c r="AO53" i="28" s="1"/>
  <c r="P29" i="28"/>
  <c r="R29" i="28"/>
  <c r="Q29" i="28"/>
  <c r="AK13" i="28"/>
  <c r="AN37" i="28"/>
  <c r="AN38" i="28" s="1"/>
  <c r="AG36" i="28"/>
  <c r="AQ38" i="28"/>
  <c r="AP38" i="28"/>
  <c r="R27" i="28"/>
  <c r="Q27" i="28"/>
  <c r="P27" i="28"/>
  <c r="AN45" i="28"/>
  <c r="AO47" i="28" s="1"/>
  <c r="S27" i="28"/>
  <c r="O27" i="28"/>
  <c r="AN58" i="28"/>
  <c r="AN59" i="28" s="1"/>
  <c r="AG57" i="28"/>
  <c r="AQ59" i="28"/>
  <c r="AP59" i="28"/>
  <c r="AN64" i="28"/>
  <c r="AN65" i="28" s="1"/>
  <c r="AG63" i="28"/>
  <c r="AQ65" i="28"/>
  <c r="AP65" i="28"/>
  <c r="AG69" i="28"/>
  <c r="AN70" i="28"/>
  <c r="AN71" i="28" s="1"/>
  <c r="AQ71" i="28"/>
  <c r="AP71" i="28"/>
  <c r="AG75" i="28"/>
  <c r="AN76" i="28"/>
  <c r="AN77" i="28" s="1"/>
  <c r="AQ77" i="28"/>
  <c r="AP77" i="28"/>
  <c r="AO59" i="28"/>
  <c r="AN66" i="28"/>
  <c r="AO68" i="28" s="1"/>
  <c r="R34" i="28"/>
  <c r="Q34" i="28"/>
  <c r="P34" i="28"/>
  <c r="O34" i="28"/>
  <c r="S34" i="28"/>
  <c r="AG54" i="28"/>
  <c r="AN55" i="28"/>
  <c r="AN56" i="28" s="1"/>
  <c r="AQ56" i="28"/>
  <c r="AP56" i="28"/>
  <c r="AO65" i="28"/>
  <c r="AG48" i="28"/>
  <c r="AN49" i="28"/>
  <c r="AN50" i="28" s="1"/>
  <c r="AQ50" i="28"/>
  <c r="AP50" i="28"/>
  <c r="S111" i="28"/>
  <c r="R111" i="28"/>
  <c r="Q111" i="28"/>
  <c r="O111" i="28"/>
  <c r="AN8" i="28"/>
  <c r="P111" i="28"/>
  <c r="O113" i="28"/>
  <c r="S113" i="28"/>
  <c r="R113" i="28"/>
  <c r="Q113" i="28"/>
  <c r="P113" i="28"/>
  <c r="AN5" i="28"/>
  <c r="AO38" i="28"/>
  <c r="N111" i="28"/>
  <c r="N113" i="28"/>
  <c r="AG42" i="28"/>
  <c r="AN43" i="28"/>
  <c r="AN44" i="28" s="1"/>
  <c r="AQ44" i="28"/>
  <c r="AP44" i="28"/>
  <c r="AN40" i="28"/>
  <c r="AN41" i="28" s="1"/>
  <c r="AG39" i="28"/>
  <c r="AQ41" i="28"/>
  <c r="AP41" i="28"/>
  <c r="N27" i="28"/>
  <c r="AG79" i="28"/>
  <c r="AG80" i="28" s="1"/>
  <c r="AF79" i="28"/>
  <c r="AF80" i="28" s="1"/>
  <c r="S114" i="25"/>
  <c r="AN14" i="25"/>
  <c r="R114" i="25"/>
  <c r="O114" i="25"/>
  <c r="D24" i="26"/>
  <c r="Q114" i="25"/>
  <c r="P114" i="25"/>
  <c r="AO16" i="25"/>
  <c r="D3" i="26"/>
  <c r="P24" i="25"/>
  <c r="R24" i="25"/>
  <c r="Q24" i="25"/>
  <c r="O24" i="25"/>
  <c r="S24" i="25"/>
  <c r="N114" i="25"/>
  <c r="R112" i="25"/>
  <c r="AN11" i="25"/>
  <c r="Q112" i="25"/>
  <c r="P112" i="25"/>
  <c r="S112" i="25"/>
  <c r="D22" i="26"/>
  <c r="O112" i="25"/>
  <c r="AG9" i="24"/>
  <c r="AG10" i="24" s="1"/>
  <c r="AF9" i="24"/>
  <c r="AF10" i="24" s="1"/>
  <c r="AR16" i="24"/>
  <c r="AR10" i="24"/>
  <c r="S32" i="24"/>
  <c r="R32" i="24"/>
  <c r="F11" i="26"/>
  <c r="Q32" i="24"/>
  <c r="O32" i="24"/>
  <c r="P32" i="24"/>
  <c r="AF15" i="24"/>
  <c r="AF16" i="24" s="1"/>
  <c r="AG15" i="24"/>
  <c r="AG16" i="24" s="1"/>
  <c r="D113" i="24"/>
  <c r="S31" i="24"/>
  <c r="P31" i="24"/>
  <c r="F10" i="26"/>
  <c r="R31" i="24"/>
  <c r="O31" i="24"/>
  <c r="Q31" i="24"/>
  <c r="AH5" i="24"/>
  <c r="AH6" i="24" s="1"/>
  <c r="AO6" i="24"/>
  <c r="N17" i="25"/>
  <c r="Q17" i="25"/>
  <c r="D42" i="26"/>
  <c r="N13" i="25"/>
  <c r="Q13" i="25"/>
  <c r="O13" i="25"/>
  <c r="P13" i="25"/>
  <c r="D41" i="26"/>
  <c r="N12" i="25"/>
  <c r="P12" i="25"/>
  <c r="O12" i="25"/>
  <c r="Q12" i="25"/>
  <c r="D40" i="26"/>
  <c r="Q11" i="25"/>
  <c r="N11" i="25"/>
  <c r="P11" i="25"/>
  <c r="O11" i="25"/>
  <c r="AI7" i="24"/>
  <c r="AH7" i="24"/>
  <c r="AJ7" i="24"/>
  <c r="D18" i="25"/>
  <c r="AF75" i="25" s="1"/>
  <c r="AH77" i="25" s="1"/>
  <c r="R35" i="25"/>
  <c r="D14" i="26"/>
  <c r="O35" i="25"/>
  <c r="Q35" i="25"/>
  <c r="P35" i="25"/>
  <c r="S35" i="25"/>
  <c r="Q34" i="25"/>
  <c r="D13" i="26"/>
  <c r="S34" i="25"/>
  <c r="O34" i="25"/>
  <c r="P34" i="25"/>
  <c r="R34" i="25"/>
  <c r="S33" i="25"/>
  <c r="Q33" i="25"/>
  <c r="R33" i="25"/>
  <c r="D12" i="26"/>
  <c r="O33" i="25"/>
  <c r="P33" i="25"/>
  <c r="N33" i="25"/>
  <c r="Q29" i="25"/>
  <c r="R29" i="25"/>
  <c r="S29" i="25"/>
  <c r="P29" i="25"/>
  <c r="D8" i="26"/>
  <c r="O29" i="25"/>
  <c r="D9" i="25"/>
  <c r="AF48" i="25" s="1"/>
  <c r="D8" i="25"/>
  <c r="AF45" i="25" s="1"/>
  <c r="AF46" i="25" s="1"/>
  <c r="AF47" i="25" s="1"/>
  <c r="D7" i="25"/>
  <c r="AF42" i="25" s="1"/>
  <c r="AK10" i="25"/>
  <c r="N36" i="25"/>
  <c r="D15" i="26"/>
  <c r="R36" i="24"/>
  <c r="Q36" i="24"/>
  <c r="F15" i="26"/>
  <c r="S36" i="24"/>
  <c r="P36" i="24"/>
  <c r="O36" i="24"/>
  <c r="AG6" i="25"/>
  <c r="D105" i="25"/>
  <c r="O36" i="25"/>
  <c r="P36" i="25"/>
  <c r="S36" i="25"/>
  <c r="R36" i="25"/>
  <c r="Q36" i="25"/>
  <c r="C48" i="17"/>
  <c r="K78" i="17"/>
  <c r="M78" i="17" s="1"/>
  <c r="V28" i="17"/>
  <c r="G21" i="17"/>
  <c r="C50" i="17"/>
  <c r="D22" i="17"/>
  <c r="C49" i="17"/>
  <c r="N49" i="4"/>
  <c r="N50" i="4" s="1"/>
  <c r="AK16" i="30" l="1"/>
  <c r="AK16" i="29"/>
  <c r="AK13" i="29"/>
  <c r="P35" i="24"/>
  <c r="F14" i="26"/>
  <c r="S35" i="24"/>
  <c r="R35" i="24"/>
  <c r="O35" i="24"/>
  <c r="F14" i="31"/>
  <c r="H14" i="31" s="1"/>
  <c r="AN69" i="24"/>
  <c r="Q35" i="24"/>
  <c r="P17" i="25"/>
  <c r="O17" i="25"/>
  <c r="AJ50" i="25"/>
  <c r="AI50" i="25"/>
  <c r="H42" i="26"/>
  <c r="AH47" i="25"/>
  <c r="H41" i="26"/>
  <c r="AJ74" i="25"/>
  <c r="AI74" i="25"/>
  <c r="AH74" i="25"/>
  <c r="AJ47" i="25"/>
  <c r="AI47" i="25"/>
  <c r="AJ44" i="25"/>
  <c r="AH44" i="25"/>
  <c r="AI44" i="25"/>
  <c r="AJ77" i="25"/>
  <c r="AI77" i="25"/>
  <c r="H40" i="26"/>
  <c r="J40" i="26"/>
  <c r="AF49" i="25"/>
  <c r="AF50" i="25" s="1"/>
  <c r="AG47" i="25"/>
  <c r="AH50" i="25"/>
  <c r="AK16" i="24"/>
  <c r="AO7" i="28"/>
  <c r="H24" i="26"/>
  <c r="K24" i="26" s="1"/>
  <c r="AG69" i="25"/>
  <c r="AN70" i="25"/>
  <c r="AN71" i="25" s="1"/>
  <c r="AQ71" i="25"/>
  <c r="AO71" i="25"/>
  <c r="AP71" i="25"/>
  <c r="AG67" i="25"/>
  <c r="AF37" i="25"/>
  <c r="AF38" i="25" s="1"/>
  <c r="AG37" i="25"/>
  <c r="AG38" i="25" s="1"/>
  <c r="AO56" i="25"/>
  <c r="AG54" i="25"/>
  <c r="AN55" i="25"/>
  <c r="AN56" i="25" s="1"/>
  <c r="AQ56" i="25"/>
  <c r="AP56" i="25"/>
  <c r="AG76" i="25"/>
  <c r="AG77" i="25" s="1"/>
  <c r="AF76" i="25"/>
  <c r="AF77" i="25" s="1"/>
  <c r="AG72" i="25"/>
  <c r="AN73" i="25"/>
  <c r="AN74" i="25" s="1"/>
  <c r="AQ74" i="25"/>
  <c r="AO74" i="25"/>
  <c r="AP74" i="25"/>
  <c r="AF43" i="25"/>
  <c r="AF44" i="25" s="1"/>
  <c r="AG43" i="25"/>
  <c r="AG44" i="25" s="1"/>
  <c r="AG52" i="25"/>
  <c r="AG64" i="25"/>
  <c r="AG79" i="25"/>
  <c r="AG80" i="25" s="1"/>
  <c r="AF79" i="25"/>
  <c r="AF80" i="25" s="1"/>
  <c r="N113" i="24"/>
  <c r="F23" i="31"/>
  <c r="F22" i="31"/>
  <c r="S112" i="24"/>
  <c r="O112" i="24"/>
  <c r="AN11" i="24"/>
  <c r="F22" i="26"/>
  <c r="P112" i="24"/>
  <c r="R112" i="24"/>
  <c r="Q112" i="24"/>
  <c r="N112" i="24"/>
  <c r="AN73" i="24"/>
  <c r="AN74" i="24" s="1"/>
  <c r="AG72" i="24"/>
  <c r="AQ74" i="24"/>
  <c r="AP74" i="24"/>
  <c r="AO74" i="24"/>
  <c r="H15" i="31"/>
  <c r="AG63" i="24"/>
  <c r="AN64" i="24"/>
  <c r="AN65" i="24" s="1"/>
  <c r="AQ65" i="24"/>
  <c r="AP65" i="24"/>
  <c r="H12" i="31"/>
  <c r="L12" i="31" s="1"/>
  <c r="AO65" i="24"/>
  <c r="AN61" i="24"/>
  <c r="AN62" i="24" s="1"/>
  <c r="AG60" i="24"/>
  <c r="AQ62" i="24"/>
  <c r="AO62" i="24"/>
  <c r="AP62" i="24"/>
  <c r="H11" i="31"/>
  <c r="L11" i="31" s="1"/>
  <c r="H10" i="26"/>
  <c r="K10" i="26" s="1"/>
  <c r="AN58" i="24"/>
  <c r="AN59" i="24" s="1"/>
  <c r="AG57" i="24"/>
  <c r="AQ59" i="24"/>
  <c r="AP59" i="24"/>
  <c r="AO59" i="24"/>
  <c r="H10" i="31"/>
  <c r="Q28" i="24"/>
  <c r="F7" i="31"/>
  <c r="AN48" i="24"/>
  <c r="P28" i="24"/>
  <c r="R28" i="24"/>
  <c r="S28" i="24"/>
  <c r="O28" i="24"/>
  <c r="F7" i="26"/>
  <c r="Q27" i="24"/>
  <c r="F6" i="31"/>
  <c r="AN45" i="24"/>
  <c r="O27" i="24"/>
  <c r="R27" i="24"/>
  <c r="S27" i="24"/>
  <c r="F6" i="26"/>
  <c r="P27" i="24"/>
  <c r="AG39" i="24"/>
  <c r="AN40" i="24"/>
  <c r="AN41" i="24" s="1"/>
  <c r="AQ41" i="24"/>
  <c r="AP41" i="24"/>
  <c r="H4" i="31"/>
  <c r="L4" i="31" s="1"/>
  <c r="AO41" i="24"/>
  <c r="H3" i="31"/>
  <c r="L3" i="31" s="1"/>
  <c r="AN37" i="24"/>
  <c r="AN38" i="24" s="1"/>
  <c r="AG36" i="24"/>
  <c r="AQ38" i="24"/>
  <c r="AP38" i="24"/>
  <c r="AO38" i="24"/>
  <c r="J21" i="26"/>
  <c r="L21" i="26"/>
  <c r="K21" i="26"/>
  <c r="L16" i="26"/>
  <c r="J16" i="26"/>
  <c r="K16" i="26"/>
  <c r="J9" i="26"/>
  <c r="L9" i="26"/>
  <c r="L4" i="26"/>
  <c r="J4" i="26"/>
  <c r="L5" i="26"/>
  <c r="J5" i="26"/>
  <c r="K5" i="26"/>
  <c r="K9" i="26"/>
  <c r="AR10" i="30"/>
  <c r="AK13" i="30"/>
  <c r="AG46" i="30"/>
  <c r="AG47" i="30" s="1"/>
  <c r="AF46" i="30"/>
  <c r="AF47" i="30" s="1"/>
  <c r="AK10" i="29"/>
  <c r="AG67" i="30"/>
  <c r="AG68" i="30" s="1"/>
  <c r="AF67" i="30"/>
  <c r="AF68" i="30" s="1"/>
  <c r="AG58" i="30"/>
  <c r="AG59" i="30" s="1"/>
  <c r="AF58" i="30"/>
  <c r="AF59" i="30" s="1"/>
  <c r="AG9" i="30"/>
  <c r="AG10" i="30" s="1"/>
  <c r="AF9" i="30"/>
  <c r="AF10" i="30" s="1"/>
  <c r="AG67" i="29"/>
  <c r="AG68" i="29" s="1"/>
  <c r="AF67" i="29"/>
  <c r="AF68" i="29" s="1"/>
  <c r="AG58" i="29"/>
  <c r="AG59" i="29" s="1"/>
  <c r="AF58" i="29"/>
  <c r="AF59" i="29" s="1"/>
  <c r="H13" i="26"/>
  <c r="H15" i="26"/>
  <c r="H12" i="26"/>
  <c r="H14" i="26"/>
  <c r="H8" i="26"/>
  <c r="H11" i="26"/>
  <c r="H3" i="26"/>
  <c r="AG15" i="28"/>
  <c r="AG16" i="28" s="1"/>
  <c r="AF15" i="28"/>
  <c r="AF16" i="28" s="1"/>
  <c r="AR16" i="28"/>
  <c r="AQ53" i="28"/>
  <c r="AG51" i="28"/>
  <c r="AN52" i="28"/>
  <c r="AN53" i="28" s="1"/>
  <c r="AP53" i="28"/>
  <c r="AG43" i="28"/>
  <c r="AG44" i="28" s="1"/>
  <c r="AF43" i="28"/>
  <c r="AF44" i="28" s="1"/>
  <c r="AG55" i="28"/>
  <c r="AG56" i="28" s="1"/>
  <c r="AF55" i="28"/>
  <c r="AF56" i="28" s="1"/>
  <c r="AN9" i="28"/>
  <c r="AN10" i="28" s="1"/>
  <c r="AG8" i="28"/>
  <c r="AQ10" i="28"/>
  <c r="AP10" i="28"/>
  <c r="AG49" i="28"/>
  <c r="AG50" i="28" s="1"/>
  <c r="AF49" i="28"/>
  <c r="AF50" i="28" s="1"/>
  <c r="AG64" i="28"/>
  <c r="AG65" i="28" s="1"/>
  <c r="AF64" i="28"/>
  <c r="AF65" i="28" s="1"/>
  <c r="AG45" i="28"/>
  <c r="AN46" i="28"/>
  <c r="AN47" i="28" s="1"/>
  <c r="AQ47" i="28"/>
  <c r="AP47" i="28"/>
  <c r="AO10" i="28"/>
  <c r="AG5" i="28"/>
  <c r="AN6" i="28"/>
  <c r="AN7" i="28" s="1"/>
  <c r="AQ7" i="28"/>
  <c r="AP7" i="28"/>
  <c r="AG76" i="28"/>
  <c r="AG77" i="28" s="1"/>
  <c r="AF76" i="28"/>
  <c r="AF77" i="28" s="1"/>
  <c r="AG70" i="28"/>
  <c r="AG71" i="28" s="1"/>
  <c r="AF70" i="28"/>
  <c r="AF71" i="28" s="1"/>
  <c r="AG40" i="28"/>
  <c r="AG41" i="28" s="1"/>
  <c r="AF40" i="28"/>
  <c r="AF41" i="28" s="1"/>
  <c r="AG37" i="28"/>
  <c r="AG38" i="28" s="1"/>
  <c r="AF37" i="28"/>
  <c r="AF38" i="28" s="1"/>
  <c r="AN67" i="28"/>
  <c r="AN68" i="28" s="1"/>
  <c r="AG66" i="28"/>
  <c r="AQ68" i="28"/>
  <c r="AP68" i="28"/>
  <c r="AG58" i="28"/>
  <c r="AG59" i="28" s="1"/>
  <c r="AF58" i="28"/>
  <c r="AF59" i="28" s="1"/>
  <c r="AG11" i="25"/>
  <c r="AQ13" i="25"/>
  <c r="AN12" i="25"/>
  <c r="AN13" i="25" s="1"/>
  <c r="AP13" i="25"/>
  <c r="AG14" i="25"/>
  <c r="AQ16" i="25"/>
  <c r="AN15" i="25"/>
  <c r="AN16" i="25" s="1"/>
  <c r="AP16" i="25"/>
  <c r="AO13" i="25"/>
  <c r="AK10" i="24"/>
  <c r="S113" i="24"/>
  <c r="AN5" i="24"/>
  <c r="R113" i="24"/>
  <c r="P113" i="24"/>
  <c r="O113" i="24"/>
  <c r="F23" i="26"/>
  <c r="Q113" i="24"/>
  <c r="N105" i="25"/>
  <c r="O105" i="25"/>
  <c r="P105" i="25"/>
  <c r="Q105" i="25"/>
  <c r="D47" i="26"/>
  <c r="O18" i="25"/>
  <c r="P18" i="25"/>
  <c r="Q18" i="25"/>
  <c r="N18" i="25"/>
  <c r="D38" i="26"/>
  <c r="P9" i="25"/>
  <c r="N9" i="25"/>
  <c r="O9" i="25"/>
  <c r="Q9" i="25"/>
  <c r="D37" i="26"/>
  <c r="N8" i="25"/>
  <c r="Q8" i="25"/>
  <c r="O8" i="25"/>
  <c r="P8" i="25"/>
  <c r="D36" i="26"/>
  <c r="O7" i="25"/>
  <c r="P7" i="25"/>
  <c r="Q7" i="25"/>
  <c r="N7" i="25"/>
  <c r="D16" i="25"/>
  <c r="AF69" i="25" s="1"/>
  <c r="D15" i="25"/>
  <c r="AF66" i="25" s="1"/>
  <c r="AF67" i="25" s="1"/>
  <c r="AF68" i="25" s="1"/>
  <c r="D14" i="25"/>
  <c r="AF63" i="25" s="1"/>
  <c r="D10" i="25"/>
  <c r="AF51" i="25" s="1"/>
  <c r="AF52" i="25" s="1"/>
  <c r="AF53" i="25" s="1"/>
  <c r="AF5" i="25"/>
  <c r="D54" i="26"/>
  <c r="D17" i="24"/>
  <c r="D46" i="26"/>
  <c r="AN6" i="25"/>
  <c r="AN7" i="25" s="1"/>
  <c r="AQ7" i="25"/>
  <c r="AP7" i="25"/>
  <c r="AO7" i="25"/>
  <c r="N78" i="17"/>
  <c r="O78" i="17" s="1"/>
  <c r="V27" i="17"/>
  <c r="C58" i="17"/>
  <c r="C9" i="4" s="1"/>
  <c r="C49" i="4"/>
  <c r="C50" i="4" s="1"/>
  <c r="AK10" i="30" l="1"/>
  <c r="AQ71" i="24"/>
  <c r="AN70" i="24"/>
  <c r="AN71" i="24" s="1"/>
  <c r="AG69" i="24"/>
  <c r="AP71" i="24"/>
  <c r="J24" i="26"/>
  <c r="L14" i="31"/>
  <c r="J14" i="31"/>
  <c r="K14" i="31"/>
  <c r="AO71" i="24"/>
  <c r="AG68" i="25"/>
  <c r="AI7" i="25"/>
  <c r="H54" i="26"/>
  <c r="AJ53" i="25"/>
  <c r="AI53" i="25"/>
  <c r="AH53" i="25"/>
  <c r="H36" i="26"/>
  <c r="J36" i="26" s="1"/>
  <c r="AG53" i="25"/>
  <c r="AJ71" i="25"/>
  <c r="AI71" i="25"/>
  <c r="AH71" i="25"/>
  <c r="K41" i="26"/>
  <c r="L41" i="26"/>
  <c r="AJ65" i="25"/>
  <c r="AI65" i="25"/>
  <c r="AH65" i="25"/>
  <c r="H37" i="26"/>
  <c r="AF64" i="25"/>
  <c r="AF65" i="25" s="1"/>
  <c r="H47" i="26"/>
  <c r="J47" i="26" s="1"/>
  <c r="K42" i="26"/>
  <c r="L42" i="26"/>
  <c r="AJ68" i="25"/>
  <c r="AI68" i="25"/>
  <c r="AH68" i="25"/>
  <c r="H38" i="26"/>
  <c r="J38" i="26" s="1"/>
  <c r="AG65" i="25"/>
  <c r="K40" i="26"/>
  <c r="L40" i="26"/>
  <c r="J41" i="26"/>
  <c r="J42" i="26"/>
  <c r="F46" i="31"/>
  <c r="AF72" i="24"/>
  <c r="J10" i="26"/>
  <c r="L10" i="26"/>
  <c r="L24" i="26"/>
  <c r="AG73" i="25"/>
  <c r="AG74" i="25" s="1"/>
  <c r="AF73" i="25"/>
  <c r="AF74" i="25" s="1"/>
  <c r="AF70" i="25"/>
  <c r="AF71" i="25" s="1"/>
  <c r="AG70" i="25"/>
  <c r="AG71" i="25" s="1"/>
  <c r="AG55" i="25"/>
  <c r="AG56" i="25" s="1"/>
  <c r="AF55" i="25"/>
  <c r="AF56" i="25" s="1"/>
  <c r="H23" i="26"/>
  <c r="H23" i="31"/>
  <c r="H22" i="26"/>
  <c r="L22" i="26" s="1"/>
  <c r="H22" i="31"/>
  <c r="L22" i="31" s="1"/>
  <c r="AG11" i="24"/>
  <c r="AP13" i="24"/>
  <c r="AN12" i="24"/>
  <c r="AN13" i="24" s="1"/>
  <c r="AQ13" i="24"/>
  <c r="AO13" i="24"/>
  <c r="L15" i="31"/>
  <c r="J15" i="31"/>
  <c r="K15" i="31"/>
  <c r="AF73" i="24"/>
  <c r="AF74" i="24" s="1"/>
  <c r="AG73" i="24"/>
  <c r="AG74" i="24" s="1"/>
  <c r="K12" i="31"/>
  <c r="J12" i="31"/>
  <c r="AF64" i="24"/>
  <c r="AF65" i="24" s="1"/>
  <c r="AG64" i="24"/>
  <c r="AG65" i="24" s="1"/>
  <c r="J11" i="31"/>
  <c r="K11" i="31"/>
  <c r="AG61" i="24"/>
  <c r="AG62" i="24" s="1"/>
  <c r="AF61" i="24"/>
  <c r="AF62" i="24" s="1"/>
  <c r="AG58" i="24"/>
  <c r="AG59" i="24" s="1"/>
  <c r="AF58" i="24"/>
  <c r="AF59" i="24" s="1"/>
  <c r="J10" i="31"/>
  <c r="K10" i="31"/>
  <c r="L10" i="31"/>
  <c r="AN49" i="24"/>
  <c r="AN50" i="24" s="1"/>
  <c r="AG48" i="24"/>
  <c r="AQ50" i="24"/>
  <c r="AP50" i="24"/>
  <c r="H7" i="26"/>
  <c r="H7" i="31"/>
  <c r="AO50" i="24"/>
  <c r="H6" i="26"/>
  <c r="AN46" i="24"/>
  <c r="AN47" i="24" s="1"/>
  <c r="AG45" i="24"/>
  <c r="AQ47" i="24"/>
  <c r="AP47" i="24"/>
  <c r="H6" i="31"/>
  <c r="AO47" i="24"/>
  <c r="K4" i="31"/>
  <c r="J4" i="31"/>
  <c r="AF40" i="24"/>
  <c r="AF41" i="24" s="1"/>
  <c r="AG40" i="24"/>
  <c r="AG41" i="24" s="1"/>
  <c r="J3" i="31"/>
  <c r="K3" i="31"/>
  <c r="AF37" i="24"/>
  <c r="AF38" i="24" s="1"/>
  <c r="AG37" i="24"/>
  <c r="AG38" i="24" s="1"/>
  <c r="L14" i="26"/>
  <c r="J14" i="26"/>
  <c r="K14" i="26"/>
  <c r="L12" i="26"/>
  <c r="J12" i="26"/>
  <c r="K12" i="26"/>
  <c r="J13" i="26"/>
  <c r="L13" i="26"/>
  <c r="L15" i="26"/>
  <c r="J15" i="26"/>
  <c r="K15" i="26"/>
  <c r="J3" i="26"/>
  <c r="L3" i="26"/>
  <c r="K3" i="26"/>
  <c r="J11" i="26"/>
  <c r="L11" i="26"/>
  <c r="K11" i="26"/>
  <c r="L8" i="26"/>
  <c r="J8" i="26"/>
  <c r="K13" i="26"/>
  <c r="K8" i="26"/>
  <c r="AK16" i="28"/>
  <c r="AF52" i="28"/>
  <c r="AF53" i="28" s="1"/>
  <c r="AG52" i="28"/>
  <c r="AG53" i="28" s="1"/>
  <c r="AR7" i="28"/>
  <c r="AG6" i="28"/>
  <c r="AG7" i="28" s="1"/>
  <c r="AF6" i="28"/>
  <c r="AF7" i="28" s="1"/>
  <c r="AG67" i="28"/>
  <c r="AG68" i="28" s="1"/>
  <c r="AF67" i="28"/>
  <c r="AF68" i="28" s="1"/>
  <c r="AG9" i="28"/>
  <c r="AG10" i="28" s="1"/>
  <c r="AF9" i="28"/>
  <c r="AF10" i="28" s="1"/>
  <c r="AG46" i="28"/>
  <c r="AG47" i="28" s="1"/>
  <c r="AF46" i="28"/>
  <c r="AF47" i="28" s="1"/>
  <c r="AR10" i="28"/>
  <c r="AR13" i="25"/>
  <c r="AR16" i="25"/>
  <c r="AG12" i="25"/>
  <c r="AG13" i="25" s="1"/>
  <c r="AF12" i="25"/>
  <c r="AF13" i="25" s="1"/>
  <c r="AG15" i="25"/>
  <c r="AG16" i="25" s="1"/>
  <c r="AF15" i="25"/>
  <c r="AF16" i="25" s="1"/>
  <c r="AG5" i="24"/>
  <c r="AQ7" i="24"/>
  <c r="AN6" i="24"/>
  <c r="AN7" i="24" s="1"/>
  <c r="AP7" i="24"/>
  <c r="AO7" i="24"/>
  <c r="D45" i="26"/>
  <c r="O16" i="25"/>
  <c r="P16" i="25"/>
  <c r="Q16" i="25"/>
  <c r="N16" i="25"/>
  <c r="D44" i="26"/>
  <c r="Q15" i="25"/>
  <c r="N15" i="25"/>
  <c r="P15" i="25"/>
  <c r="O15" i="25"/>
  <c r="D43" i="26"/>
  <c r="P14" i="25"/>
  <c r="Q14" i="25"/>
  <c r="O14" i="25"/>
  <c r="N14" i="25"/>
  <c r="D39" i="26"/>
  <c r="O10" i="25"/>
  <c r="P10" i="25"/>
  <c r="Q10" i="25"/>
  <c r="N10" i="25"/>
  <c r="F46" i="26"/>
  <c r="N17" i="24"/>
  <c r="Q17" i="24"/>
  <c r="O17" i="24"/>
  <c r="P17" i="24"/>
  <c r="C100" i="5"/>
  <c r="AJ7" i="25"/>
  <c r="AF6" i="25"/>
  <c r="AF7" i="25" s="1"/>
  <c r="AG7" i="25"/>
  <c r="AH7" i="25"/>
  <c r="AR7" i="25"/>
  <c r="C61" i="17"/>
  <c r="C124" i="17"/>
  <c r="C57" i="17"/>
  <c r="C10" i="4" s="1"/>
  <c r="C18" i="4" s="1"/>
  <c r="C19" i="4" s="1"/>
  <c r="H20" i="17"/>
  <c r="AG70" i="24" l="1"/>
  <c r="AG71" i="24" s="1"/>
  <c r="AF70" i="24"/>
  <c r="AF71" i="24" s="1"/>
  <c r="AK16" i="25"/>
  <c r="AK13" i="25"/>
  <c r="L54" i="26"/>
  <c r="K54" i="26"/>
  <c r="J54" i="26"/>
  <c r="K37" i="26"/>
  <c r="L37" i="26"/>
  <c r="H45" i="26"/>
  <c r="J37" i="26"/>
  <c r="K36" i="26"/>
  <c r="L36" i="26"/>
  <c r="H39" i="26"/>
  <c r="J39" i="26" s="1"/>
  <c r="H44" i="26"/>
  <c r="J44" i="26" s="1"/>
  <c r="H43" i="26"/>
  <c r="K38" i="26"/>
  <c r="L38" i="26"/>
  <c r="L47" i="26"/>
  <c r="K47" i="26"/>
  <c r="AJ74" i="24"/>
  <c r="AI74" i="24"/>
  <c r="AH74" i="24"/>
  <c r="H46" i="26"/>
  <c r="L46" i="26" s="1"/>
  <c r="H46" i="31"/>
  <c r="J23" i="26"/>
  <c r="L23" i="26"/>
  <c r="K23" i="26"/>
  <c r="K23" i="31"/>
  <c r="J23" i="31"/>
  <c r="L23" i="31"/>
  <c r="AG12" i="24"/>
  <c r="AG13" i="24" s="1"/>
  <c r="AF12" i="24"/>
  <c r="AF13" i="24" s="1"/>
  <c r="K22" i="26"/>
  <c r="J22" i="26"/>
  <c r="AR13" i="24"/>
  <c r="J22" i="31"/>
  <c r="K22" i="31"/>
  <c r="K7" i="26"/>
  <c r="J7" i="26"/>
  <c r="AG49" i="24"/>
  <c r="AG50" i="24" s="1"/>
  <c r="AF49" i="24"/>
  <c r="AF50" i="24" s="1"/>
  <c r="L7" i="31"/>
  <c r="K7" i="31"/>
  <c r="J7" i="31"/>
  <c r="L7" i="26"/>
  <c r="AG46" i="24"/>
  <c r="AG47" i="24" s="1"/>
  <c r="AF46" i="24"/>
  <c r="AF47" i="24" s="1"/>
  <c r="K6" i="26"/>
  <c r="L6" i="26"/>
  <c r="J6" i="26"/>
  <c r="K6" i="31"/>
  <c r="J6" i="31"/>
  <c r="L6" i="31"/>
  <c r="AK7" i="28"/>
  <c r="AK10" i="28"/>
  <c r="AR7" i="24"/>
  <c r="AG6" i="24"/>
  <c r="AG7" i="24" s="1"/>
  <c r="AF6" i="24"/>
  <c r="AF7" i="24" s="1"/>
  <c r="AK7" i="24" s="1"/>
  <c r="AK7" i="25"/>
  <c r="H21" i="17"/>
  <c r="H22" i="17" s="1"/>
  <c r="I20" i="17"/>
  <c r="F69" i="17"/>
  <c r="C101" i="17"/>
  <c r="C102" i="17" s="1"/>
  <c r="F70" i="17"/>
  <c r="F72" i="17"/>
  <c r="R8" i="4"/>
  <c r="R9" i="4" s="1"/>
  <c r="N8" i="4"/>
  <c r="N9" i="4" s="1"/>
  <c r="U9" i="4" s="1"/>
  <c r="B3" i="17" l="1"/>
  <c r="AK13" i="24"/>
  <c r="K43" i="26"/>
  <c r="L43" i="26"/>
  <c r="L39" i="26"/>
  <c r="K39" i="26"/>
  <c r="L45" i="26"/>
  <c r="K45" i="26"/>
  <c r="J43" i="26"/>
  <c r="L44" i="26"/>
  <c r="K44" i="26"/>
  <c r="J45" i="26"/>
  <c r="J46" i="31"/>
  <c r="K46" i="31"/>
  <c r="L46" i="31"/>
  <c r="K46" i="26"/>
  <c r="J46" i="26"/>
  <c r="K70" i="17"/>
  <c r="M70" i="17" s="1"/>
  <c r="F81" i="17"/>
  <c r="I24" i="17"/>
  <c r="F20" i="17"/>
  <c r="L20" i="17"/>
  <c r="I21" i="17"/>
  <c r="C118" i="17"/>
  <c r="F74" i="17"/>
  <c r="K72" i="17"/>
  <c r="M72" i="17" s="1"/>
  <c r="K69" i="17"/>
  <c r="M69" i="17" s="1"/>
  <c r="F73" i="17"/>
  <c r="N18" i="4" l="1"/>
  <c r="R13" i="4" s="1"/>
  <c r="R17" i="4" s="1"/>
  <c r="I22" i="17"/>
  <c r="B212" i="17"/>
  <c r="F80" i="17"/>
  <c r="F21" i="17"/>
  <c r="F32" i="17"/>
  <c r="E20" i="17"/>
  <c r="K115" i="17"/>
  <c r="M115" i="17" s="1"/>
  <c r="R33" i="17"/>
  <c r="C127" i="17"/>
  <c r="F71" i="17" s="1"/>
  <c r="K117" i="17"/>
  <c r="M117" i="17" s="1"/>
  <c r="I26" i="17"/>
  <c r="O125" i="17"/>
  <c r="K125" i="17"/>
  <c r="M125" i="17" s="1"/>
  <c r="N69" i="17"/>
  <c r="O69" i="17" s="1"/>
  <c r="N72" i="17"/>
  <c r="O72" i="17" s="1"/>
  <c r="K81" i="17"/>
  <c r="M81" i="17" s="1"/>
  <c r="F82" i="17"/>
  <c r="L21" i="17"/>
  <c r="M20" i="17"/>
  <c r="J20" i="17"/>
  <c r="N70" i="17"/>
  <c r="O70" i="17" s="1"/>
  <c r="K73" i="17"/>
  <c r="M73" i="17" s="1"/>
  <c r="C74" i="17"/>
  <c r="K74" i="17" s="1"/>
  <c r="G32" i="17" l="1"/>
  <c r="R14" i="4"/>
  <c r="R16" i="4"/>
  <c r="R15" i="4"/>
  <c r="I27" i="17"/>
  <c r="M74" i="17"/>
  <c r="N74" i="17"/>
  <c r="M21" i="17"/>
  <c r="F83" i="17"/>
  <c r="T67" i="17"/>
  <c r="O62" i="17"/>
  <c r="C212" i="17"/>
  <c r="K82" i="17"/>
  <c r="M82" i="17" s="1"/>
  <c r="E21" i="17"/>
  <c r="F79" i="17"/>
  <c r="K116" i="17"/>
  <c r="M116" i="17" s="1"/>
  <c r="C51" i="17"/>
  <c r="N81" i="17"/>
  <c r="O81" i="17" s="1"/>
  <c r="K71" i="17"/>
  <c r="M71" i="17" s="1"/>
  <c r="K80" i="17"/>
  <c r="M80" i="17" s="1"/>
  <c r="J24" i="17"/>
  <c r="L24" i="17"/>
  <c r="H32" i="17"/>
  <c r="N73" i="17"/>
  <c r="O73" i="17" s="1"/>
  <c r="J32" i="17"/>
  <c r="K20" i="17"/>
  <c r="J21" i="17"/>
  <c r="E22" i="17" l="1"/>
  <c r="O74" i="17"/>
  <c r="N39" i="4"/>
  <c r="N41" i="4" s="1"/>
  <c r="N42" i="4" s="1"/>
  <c r="I32" i="17"/>
  <c r="N71" i="17"/>
  <c r="O71" i="17" s="1"/>
  <c r="H33" i="17"/>
  <c r="N82" i="17"/>
  <c r="O82" i="17" s="1"/>
  <c r="N21" i="17"/>
  <c r="T68" i="17"/>
  <c r="X70" i="17" s="1"/>
  <c r="X68" i="17" s="1"/>
  <c r="K83" i="17"/>
  <c r="M83" i="17" s="1"/>
  <c r="I33" i="17"/>
  <c r="L32" i="17"/>
  <c r="K32" i="17"/>
  <c r="K21" i="17"/>
  <c r="K60" i="17"/>
  <c r="C110" i="17" s="1"/>
  <c r="C109" i="17" s="1"/>
  <c r="L40" i="17"/>
  <c r="L38" i="17"/>
  <c r="L36" i="17"/>
  <c r="L26" i="17"/>
  <c r="L25" i="17"/>
  <c r="M24" i="17"/>
  <c r="J38" i="17"/>
  <c r="J25" i="17"/>
  <c r="J36" i="17"/>
  <c r="J26" i="17"/>
  <c r="J40" i="17"/>
  <c r="L22" i="17"/>
  <c r="D212" i="17"/>
  <c r="J22" i="17"/>
  <c r="K79" i="17"/>
  <c r="M79" i="17" s="1"/>
  <c r="N79" i="17"/>
  <c r="F76" i="17"/>
  <c r="C104" i="17"/>
  <c r="C105" i="17" s="1"/>
  <c r="F75" i="17"/>
  <c r="N80" i="17"/>
  <c r="O80" i="17" s="1"/>
  <c r="L27" i="17" l="1"/>
  <c r="E44" i="17"/>
  <c r="E50" i="17" s="1"/>
  <c r="K124" i="17"/>
  <c r="M124" i="17" s="1"/>
  <c r="M22" i="17"/>
  <c r="C106" i="17"/>
  <c r="J27" i="17"/>
  <c r="X69" i="17"/>
  <c r="X76" i="17" s="1"/>
  <c r="T72" i="17"/>
  <c r="J41" i="17"/>
  <c r="F41" i="17" s="1"/>
  <c r="F40" i="17" s="1"/>
  <c r="I40" i="17"/>
  <c r="M32" i="17"/>
  <c r="L33" i="17"/>
  <c r="L41" i="17"/>
  <c r="M40" i="17"/>
  <c r="K76" i="17"/>
  <c r="M76" i="17" s="1"/>
  <c r="M26" i="17"/>
  <c r="M25" i="17"/>
  <c r="O58" i="17"/>
  <c r="N24" i="17"/>
  <c r="O79" i="17"/>
  <c r="N20" i="17"/>
  <c r="B208" i="17"/>
  <c r="B204" i="17"/>
  <c r="I36" i="17"/>
  <c r="J37" i="17"/>
  <c r="F37" i="17" s="1"/>
  <c r="F36" i="17" s="1"/>
  <c r="M36" i="17"/>
  <c r="L37" i="17"/>
  <c r="I38" i="17"/>
  <c r="J39" i="17"/>
  <c r="F39" i="17" s="1"/>
  <c r="F38" i="17" s="1"/>
  <c r="C111" i="17"/>
  <c r="C115" i="17" s="1"/>
  <c r="C116" i="17" s="1"/>
  <c r="K126" i="17" s="1"/>
  <c r="M126" i="17" s="1"/>
  <c r="K75" i="17"/>
  <c r="M75" i="17" s="1"/>
  <c r="F25" i="17"/>
  <c r="K25" i="17"/>
  <c r="L39" i="17"/>
  <c r="M38" i="17"/>
  <c r="N83" i="17"/>
  <c r="O83" i="17" s="1"/>
  <c r="X78" i="17" l="1"/>
  <c r="X79" i="17" s="1"/>
  <c r="C112" i="17" s="1"/>
  <c r="T73" i="17"/>
  <c r="G38" i="17"/>
  <c r="S6" i="4"/>
  <c r="S5" i="4" s="1"/>
  <c r="B4" i="17"/>
  <c r="K5" i="5"/>
  <c r="M16" i="5"/>
  <c r="M18" i="5"/>
  <c r="N22" i="17"/>
  <c r="L24" i="5"/>
  <c r="C8" i="5"/>
  <c r="I41" i="17"/>
  <c r="H26" i="5"/>
  <c r="L25" i="5"/>
  <c r="K123" i="17"/>
  <c r="M123" i="17" s="1"/>
  <c r="O122" i="17" s="1"/>
  <c r="G40" i="17"/>
  <c r="E26" i="5"/>
  <c r="L26" i="5"/>
  <c r="I39" i="17"/>
  <c r="H25" i="5"/>
  <c r="G36" i="17"/>
  <c r="I37" i="17"/>
  <c r="M27" i="17"/>
  <c r="L19" i="5"/>
  <c r="G9" i="5"/>
  <c r="F27" i="17"/>
  <c r="F24" i="17"/>
  <c r="E18" i="5" s="1"/>
  <c r="N76" i="17"/>
  <c r="O76" i="17" s="1"/>
  <c r="F84" i="17"/>
  <c r="C169" i="17"/>
  <c r="C186" i="17" s="1"/>
  <c r="S57" i="17"/>
  <c r="S59" i="17" s="1"/>
  <c r="F77" i="17" s="1"/>
  <c r="D51" i="17"/>
  <c r="N40" i="17"/>
  <c r="M41" i="17"/>
  <c r="N75" i="17"/>
  <c r="O75" i="17" s="1"/>
  <c r="E48" i="17"/>
  <c r="N26" i="17"/>
  <c r="M19" i="5" s="1"/>
  <c r="E49" i="17"/>
  <c r="N25" i="17"/>
  <c r="M39" i="17"/>
  <c r="N38" i="17"/>
  <c r="N32" i="17"/>
  <c r="M22" i="5" s="1"/>
  <c r="M33" i="17"/>
  <c r="K27" i="17"/>
  <c r="K24" i="17"/>
  <c r="J18" i="5" s="1"/>
  <c r="K127" i="17"/>
  <c r="M127" i="17" s="1"/>
  <c r="M128" i="17" s="1"/>
  <c r="N126" i="17" s="1"/>
  <c r="C113" i="17"/>
  <c r="N36" i="17"/>
  <c r="M37" i="17"/>
  <c r="O60" i="17"/>
  <c r="K118" i="17"/>
  <c r="M118" i="17" s="1"/>
  <c r="N39" i="17" l="1"/>
  <c r="M25" i="5"/>
  <c r="N37" i="17"/>
  <c r="M24" i="5"/>
  <c r="N41" i="17"/>
  <c r="M26" i="5"/>
  <c r="D23" i="5"/>
  <c r="D21" i="5"/>
  <c r="G26" i="5"/>
  <c r="D20" i="5"/>
  <c r="C9" i="5"/>
  <c r="G24" i="5"/>
  <c r="C18" i="5"/>
  <c r="G25" i="5"/>
  <c r="C24" i="5"/>
  <c r="D19" i="5"/>
  <c r="D22" i="5"/>
  <c r="D24" i="5"/>
  <c r="G18" i="5"/>
  <c r="C25" i="5"/>
  <c r="D26" i="5"/>
  <c r="D25" i="5"/>
  <c r="D18" i="5"/>
  <c r="C26" i="5"/>
  <c r="G19" i="5"/>
  <c r="K7" i="5"/>
  <c r="C80" i="5"/>
  <c r="C16" i="5"/>
  <c r="C61" i="5"/>
  <c r="C5" i="5"/>
  <c r="C71" i="5"/>
  <c r="C36" i="5"/>
  <c r="F16" i="5"/>
  <c r="C23" i="5"/>
  <c r="C22" i="5"/>
  <c r="C20" i="5"/>
  <c r="C21" i="5"/>
  <c r="G5" i="5"/>
  <c r="C19" i="5"/>
  <c r="C10" i="5"/>
  <c r="C17" i="5"/>
  <c r="G16" i="5"/>
  <c r="H16" i="5"/>
  <c r="C35" i="5"/>
  <c r="G17" i="5"/>
  <c r="G6" i="5"/>
  <c r="C60" i="5"/>
  <c r="E16" i="5"/>
  <c r="H18" i="5"/>
  <c r="K16" i="5"/>
  <c r="C7" i="5"/>
  <c r="H17" i="5"/>
  <c r="L16" i="5"/>
  <c r="E22" i="5"/>
  <c r="H19" i="5"/>
  <c r="D16" i="5"/>
  <c r="I16" i="5"/>
  <c r="G22" i="5"/>
  <c r="K6" i="5"/>
  <c r="I18" i="5"/>
  <c r="K18" i="5"/>
  <c r="F22" i="5"/>
  <c r="C6" i="5"/>
  <c r="I22" i="5"/>
  <c r="J16" i="5"/>
  <c r="K26" i="5"/>
  <c r="D17" i="5"/>
  <c r="K24" i="5"/>
  <c r="L18" i="5"/>
  <c r="K22" i="5"/>
  <c r="I24" i="5"/>
  <c r="I17" i="5"/>
  <c r="C70" i="5"/>
  <c r="I25" i="5"/>
  <c r="K19" i="5"/>
  <c r="K25" i="5"/>
  <c r="I26" i="5"/>
  <c r="K17" i="5"/>
  <c r="J22" i="5"/>
  <c r="I19" i="5"/>
  <c r="C79" i="5"/>
  <c r="A80" i="5" s="1"/>
  <c r="H22" i="5"/>
  <c r="G41" i="17"/>
  <c r="F26" i="5"/>
  <c r="L17" i="5"/>
  <c r="E25" i="5"/>
  <c r="H24" i="5"/>
  <c r="G7" i="5"/>
  <c r="M17" i="5"/>
  <c r="G39" i="17"/>
  <c r="F25" i="5"/>
  <c r="E24" i="5"/>
  <c r="L22" i="5"/>
  <c r="G10" i="5"/>
  <c r="G37" i="17"/>
  <c r="F24" i="5"/>
  <c r="G8" i="5"/>
  <c r="M121" i="17"/>
  <c r="K84" i="17"/>
  <c r="M84" i="17" s="1"/>
  <c r="N33" i="17"/>
  <c r="D50" i="17"/>
  <c r="N127" i="17"/>
  <c r="AC115" i="17" s="1"/>
  <c r="K28" i="17"/>
  <c r="K40" i="17"/>
  <c r="K36" i="17"/>
  <c r="K38" i="17"/>
  <c r="K26" i="17"/>
  <c r="J19" i="5" s="1"/>
  <c r="K22" i="17"/>
  <c r="J17" i="5" s="1"/>
  <c r="N27" i="17"/>
  <c r="N43" i="17"/>
  <c r="K77" i="17"/>
  <c r="M77" i="17" s="1"/>
  <c r="K145" i="17"/>
  <c r="R115" i="17"/>
  <c r="N125" i="17"/>
  <c r="N123" i="17"/>
  <c r="N124" i="17"/>
  <c r="F26" i="17"/>
  <c r="G24" i="17"/>
  <c r="F22" i="17"/>
  <c r="D175" i="17"/>
  <c r="C185" i="17"/>
  <c r="C42" i="4"/>
  <c r="C44" i="4" s="1"/>
  <c r="G25" i="17" l="1"/>
  <c r="F18" i="5"/>
  <c r="K29" i="17"/>
  <c r="J29" i="17" s="1"/>
  <c r="J20" i="5"/>
  <c r="A61" i="5"/>
  <c r="K41" i="17"/>
  <c r="J26" i="5"/>
  <c r="G26" i="17"/>
  <c r="E19" i="5"/>
  <c r="A35" i="5"/>
  <c r="K39" i="17"/>
  <c r="J25" i="5"/>
  <c r="K37" i="17"/>
  <c r="J24" i="5"/>
  <c r="G22" i="17"/>
  <c r="F17" i="5" s="1"/>
  <c r="E17" i="5"/>
  <c r="K30" i="17"/>
  <c r="A71" i="5"/>
  <c r="G175" i="17"/>
  <c r="F175" i="17"/>
  <c r="L175" i="17"/>
  <c r="M175" i="17"/>
  <c r="E175" i="17"/>
  <c r="K175" i="17"/>
  <c r="I175" i="17"/>
  <c r="J175" i="17"/>
  <c r="H175" i="17"/>
  <c r="N84" i="17"/>
  <c r="O84" i="17" s="1"/>
  <c r="N77" i="17"/>
  <c r="O77" i="17" s="1"/>
  <c r="K144" i="17"/>
  <c r="L134" i="17"/>
  <c r="M134" i="17" s="1"/>
  <c r="R114" i="17"/>
  <c r="L137" i="17"/>
  <c r="M137" i="17" s="1"/>
  <c r="N119" i="17"/>
  <c r="N120" i="17"/>
  <c r="AA118" i="17" s="1"/>
  <c r="N115" i="17"/>
  <c r="AA114" i="17" s="1"/>
  <c r="N117" i="17"/>
  <c r="AA116" i="17" s="1"/>
  <c r="N116" i="17"/>
  <c r="N118" i="17"/>
  <c r="AA117" i="17" s="1"/>
  <c r="F29" i="17"/>
  <c r="F28" i="17" s="1"/>
  <c r="J28" i="17"/>
  <c r="N128" i="17"/>
  <c r="AC114" i="17"/>
  <c r="L28" i="17"/>
  <c r="K20" i="5" s="1"/>
  <c r="L34" i="17"/>
  <c r="K23" i="5" s="1"/>
  <c r="L30" i="17"/>
  <c r="K21" i="5" s="1"/>
  <c r="K34" i="17"/>
  <c r="G28" i="17" l="1"/>
  <c r="F20" i="5" s="1"/>
  <c r="E20" i="5"/>
  <c r="G27" i="17"/>
  <c r="F19" i="5"/>
  <c r="K35" i="17"/>
  <c r="J35" i="17" s="1"/>
  <c r="F35" i="17" s="1"/>
  <c r="F34" i="17" s="1"/>
  <c r="J23" i="5"/>
  <c r="I28" i="17"/>
  <c r="I20" i="5"/>
  <c r="K31" i="17"/>
  <c r="J31" i="17" s="1"/>
  <c r="J21" i="5"/>
  <c r="O85" i="17"/>
  <c r="L31" i="17"/>
  <c r="M30" i="17"/>
  <c r="L21" i="5" s="1"/>
  <c r="L35" i="17"/>
  <c r="M34" i="17"/>
  <c r="L23" i="5" s="1"/>
  <c r="M28" i="17"/>
  <c r="L20" i="5" s="1"/>
  <c r="L29" i="17"/>
  <c r="AA115" i="17"/>
  <c r="N121" i="17"/>
  <c r="J34" i="17"/>
  <c r="G29" i="17"/>
  <c r="H28" i="17"/>
  <c r="G34" i="17" l="1"/>
  <c r="F23" i="5" s="1"/>
  <c r="E23" i="5"/>
  <c r="H29" i="17"/>
  <c r="G20" i="5"/>
  <c r="I29" i="17"/>
  <c r="H20" i="5"/>
  <c r="I34" i="17"/>
  <c r="I23" i="5"/>
  <c r="J30" i="17"/>
  <c r="F31" i="17"/>
  <c r="F30" i="17" s="1"/>
  <c r="M35" i="17"/>
  <c r="N34" i="17"/>
  <c r="M23" i="5" s="1"/>
  <c r="G35" i="17"/>
  <c r="L89" i="17"/>
  <c r="L133" i="17"/>
  <c r="M133" i="17" s="1"/>
  <c r="P78" i="17"/>
  <c r="P72" i="17"/>
  <c r="P69" i="17"/>
  <c r="P70" i="17"/>
  <c r="P81" i="17"/>
  <c r="P74" i="17"/>
  <c r="P73" i="17"/>
  <c r="P71" i="17"/>
  <c r="P80" i="17"/>
  <c r="P82" i="17"/>
  <c r="P83" i="17"/>
  <c r="P79" i="17"/>
  <c r="P76" i="17"/>
  <c r="P75" i="17"/>
  <c r="M31" i="17"/>
  <c r="N30" i="17"/>
  <c r="M21" i="5" s="1"/>
  <c r="N28" i="17"/>
  <c r="M20" i="5" s="1"/>
  <c r="M29" i="17"/>
  <c r="P77" i="17"/>
  <c r="P84" i="17"/>
  <c r="I35" i="17" l="1"/>
  <c r="H23" i="5"/>
  <c r="H34" i="17"/>
  <c r="G23" i="5" s="1"/>
  <c r="G30" i="17"/>
  <c r="E21" i="5"/>
  <c r="I30" i="17"/>
  <c r="I21" i="5"/>
  <c r="L157" i="17"/>
  <c r="N31" i="17"/>
  <c r="L135" i="17"/>
  <c r="M135" i="17" s="1"/>
  <c r="L138" i="17" s="1"/>
  <c r="M138" i="17" s="1"/>
  <c r="L136" i="17"/>
  <c r="M136" i="17" s="1"/>
  <c r="L97" i="17"/>
  <c r="L95" i="17"/>
  <c r="L93" i="17"/>
  <c r="L91" i="17"/>
  <c r="L100" i="17"/>
  <c r="L99" i="17"/>
  <c r="L98" i="17"/>
  <c r="L101" i="17"/>
  <c r="L92" i="17"/>
  <c r="L90" i="17"/>
  <c r="L96" i="17"/>
  <c r="L94" i="17"/>
  <c r="P85" i="17"/>
  <c r="N35" i="17"/>
  <c r="L158" i="17"/>
  <c r="L156" i="17"/>
  <c r="N29" i="17"/>
  <c r="I31" i="17" l="1"/>
  <c r="H21" i="5"/>
  <c r="F21" i="5"/>
  <c r="G31" i="17"/>
  <c r="G33" i="17" s="1"/>
  <c r="H30" i="17"/>
  <c r="D49" i="17"/>
  <c r="H35" i="17"/>
  <c r="L102" i="17"/>
  <c r="L107" i="17" s="1"/>
  <c r="N158" i="17"/>
  <c r="O6" i="4" s="1"/>
  <c r="L163" i="17"/>
  <c r="T166" i="17"/>
  <c r="L110" i="17"/>
  <c r="T164" i="17"/>
  <c r="N156" i="17"/>
  <c r="L166" i="17"/>
  <c r="L161" i="17"/>
  <c r="M139" i="17"/>
  <c r="T165" i="17"/>
  <c r="L162" i="17"/>
  <c r="N157" i="17"/>
  <c r="N6" i="4" s="1"/>
  <c r="M101" i="17" l="1"/>
  <c r="M100" i="17"/>
  <c r="M95" i="17"/>
  <c r="M97" i="17"/>
  <c r="M92" i="17"/>
  <c r="M99" i="17"/>
  <c r="M96" i="17"/>
  <c r="M91" i="17"/>
  <c r="G21" i="5"/>
  <c r="H31" i="17"/>
  <c r="D48" i="17"/>
  <c r="M98" i="17"/>
  <c r="M94" i="17"/>
  <c r="M90" i="17"/>
  <c r="M89" i="17"/>
  <c r="M102" i="17" s="1"/>
  <c r="M93" i="17"/>
  <c r="P156" i="17"/>
  <c r="P161" i="17" s="1"/>
  <c r="N161" i="17"/>
  <c r="R116" i="17"/>
  <c r="K146" i="17"/>
  <c r="N130" i="17"/>
  <c r="N131" i="17"/>
  <c r="AE115" i="17" s="1"/>
  <c r="N132" i="17"/>
  <c r="AE116" i="17" s="1"/>
  <c r="C156" i="17"/>
  <c r="N137" i="17"/>
  <c r="AE121" i="17" s="1"/>
  <c r="N134" i="17"/>
  <c r="AE118" i="17" s="1"/>
  <c r="N133" i="17"/>
  <c r="AE117" i="17" s="1"/>
  <c r="N136" i="17"/>
  <c r="AE120" i="17" s="1"/>
  <c r="N138" i="17"/>
  <c r="AE122" i="17" s="1"/>
  <c r="N162" i="17"/>
  <c r="P157" i="17"/>
  <c r="P162" i="17" s="1"/>
  <c r="N135" i="17"/>
  <c r="AE119" i="17" s="1"/>
  <c r="N163" i="17"/>
  <c r="P158" i="17"/>
  <c r="P163" i="17" s="1"/>
  <c r="L108" i="17"/>
  <c r="L109" i="17"/>
  <c r="C20" i="4"/>
  <c r="C21" i="4" s="1"/>
  <c r="L111" i="17" l="1"/>
  <c r="K143" i="17" s="1"/>
  <c r="AE114" i="17"/>
  <c r="N139" i="17"/>
  <c r="R117" i="17"/>
  <c r="S116" i="17" s="1"/>
  <c r="D176" i="17"/>
  <c r="V115" i="17"/>
  <c r="C155" i="17"/>
  <c r="M109" i="17" l="1"/>
  <c r="M107" i="17"/>
  <c r="M108" i="17"/>
  <c r="M110" i="17"/>
  <c r="S115" i="17"/>
  <c r="S114" i="17"/>
  <c r="V114" i="17"/>
  <c r="C174" i="17"/>
  <c r="K151" i="17"/>
  <c r="C160" i="17"/>
  <c r="C161" i="17" s="1"/>
  <c r="M176" i="17"/>
  <c r="M177" i="17" s="1"/>
  <c r="M178" i="17" s="1"/>
  <c r="E176" i="17"/>
  <c r="E177" i="17" s="1"/>
  <c r="E178" i="17" s="1"/>
  <c r="L176" i="17"/>
  <c r="L177" i="17" s="1"/>
  <c r="L178" i="17" s="1"/>
  <c r="K176" i="17"/>
  <c r="K177" i="17" s="1"/>
  <c r="K178" i="17" s="1"/>
  <c r="J176" i="17"/>
  <c r="J177" i="17" s="1"/>
  <c r="J178" i="17" s="1"/>
  <c r="I176" i="17"/>
  <c r="I177" i="17" s="1"/>
  <c r="I178" i="17" s="1"/>
  <c r="F176" i="17"/>
  <c r="F177" i="17" s="1"/>
  <c r="F178" i="17" s="1"/>
  <c r="H176" i="17"/>
  <c r="H177" i="17" s="1"/>
  <c r="H178" i="17" s="1"/>
  <c r="G176" i="17"/>
  <c r="G177" i="17" s="1"/>
  <c r="G178" i="17" s="1"/>
  <c r="D177" i="17"/>
  <c r="D178" i="17" s="1"/>
  <c r="M111" i="17"/>
  <c r="K147" i="17"/>
  <c r="C180" i="17" l="1"/>
  <c r="V116" i="17"/>
  <c r="W115" i="17" s="1"/>
  <c r="K149" i="17"/>
  <c r="K150" i="17" s="1"/>
  <c r="L145" i="17"/>
  <c r="L144" i="17"/>
  <c r="L146" i="17"/>
  <c r="L143" i="17"/>
  <c r="C182" i="17"/>
  <c r="L160" i="17"/>
  <c r="L147" i="17" l="1"/>
  <c r="L164" i="17"/>
  <c r="N160" i="17"/>
  <c r="W114" i="17"/>
  <c r="P160" i="17" l="1"/>
  <c r="P164" i="17" s="1"/>
  <c r="N164" i="17"/>
  <c r="C99" i="5" l="1"/>
  <c r="C81" i="5"/>
  <c r="C43" i="5"/>
  <c r="C82" i="5"/>
  <c r="C83" i="5"/>
  <c r="C86" i="5"/>
  <c r="C46" i="5"/>
  <c r="C33" i="5"/>
  <c r="C41" i="5"/>
  <c r="C38" i="5"/>
  <c r="C39" i="5"/>
  <c r="C64" i="5"/>
  <c r="C69" i="5" s="1"/>
  <c r="C34" i="5"/>
  <c r="C42" i="5" s="1"/>
  <c r="C63" i="5"/>
  <c r="C73" i="5"/>
  <c r="C78" i="5" s="1"/>
  <c r="C32" i="5"/>
  <c r="C59" i="5" l="1"/>
  <c r="C54" i="5"/>
  <c r="C85" i="5"/>
  <c r="C94" i="5" s="1"/>
  <c r="C45" i="5"/>
  <c r="C31" i="5"/>
  <c r="C47" i="5"/>
  <c r="C49" i="5"/>
  <c r="C48" i="5"/>
  <c r="C89" i="5" l="1"/>
  <c r="C88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tc={DA9E75E2-4181-4519-9E9B-1752EDA52E3F}</author>
    <author>tc={83D4A120-F6EE-49BF-8030-0B5966C67D7F}</author>
    <author>tc={8519A8E7-6E22-4980-84F3-3A6D1041BBAD}</author>
    <author>tc={B8737F6C-86F9-4C50-9A07-E37D0F53C376}</author>
    <author>tc={87AFD864-06C1-4D45-A3AE-18285135D76C}</author>
    <author>tc={2BCB8177-1633-4A0F-AA2D-E9A80360386C}</author>
    <author>tc={901DCC11-5A76-441A-9B88-92C8F7802DC7}</author>
    <author>tc={EB356E86-422F-4662-99CF-16B0450870F8}</author>
    <author>tc={3A1F1D02-B5B2-4DA1-AE24-DCBB143B67B4}</author>
    <author>tc={58C7A82D-B248-453C-A286-80FD16A9270A}</author>
    <author>tc={6EA07C1F-6138-4F12-82F8-209DB7A874F0}</author>
    <author>tc={49ACA8FB-1546-43A8-B39C-CC6D209FA027}</author>
    <author>tc={BB8D22D9-D164-4742-81B9-C99CB595B5A8}</author>
    <author>tc={9BCB86B4-5F9A-4644-AB9B-EE747AD7C664}</author>
    <author>tc={77BB4EF8-F155-491C-8838-0E31842D083E}</author>
    <author>tc={71A9E361-7868-426D-BEE7-E3E00F44FF94}</author>
    <author>tc={3082D716-77C8-4D87-9F72-3ECF516AC3B2}</author>
    <author>tc={1C13121B-A7B7-4080-B146-34E5F287BF37}</author>
    <author>tc={6541E201-288B-4758-A023-6FCB5D292A45}</author>
    <author>tc={3D6DA258-7234-470D-B07F-FEED9A2D4D92}</author>
    <author>tc={04E3A98D-F5DC-4AFC-B826-B0C58EAC1196}</author>
    <author>tc={DF3C7DD2-9294-42FC-9EFC-FF73AA3449FE}</author>
    <author>usuario</author>
    <author>tc={45670233-6845-48AF-AC37-68226C9825E9}</author>
    <author>tc={B506E826-A6E2-43AE-A33F-265E07238844}</author>
    <author>tc={A7EEC86B-AEB4-432F-8551-1E0C982DB5FC}</author>
    <author>tc={ED142C05-731B-4BAF-A2ED-01D1AE3AE4F7}</author>
    <author>tc={0D3DB22B-942C-4991-85A7-2909F92AAB55}</author>
    <author>tc={5C9488E0-30E5-4CFB-AC4F-03FA2C9E3FE2}</author>
    <author>tc={10264D67-B118-49C4-9785-C7816BCDF0DA}</author>
    <author>tc={5BA7BD29-7693-4C23-AEF3-CC197CFFEB1F}</author>
    <author>tc={760A2F6A-95FF-4D62-9AFC-7A9C646C4290}</author>
    <author>tc={02001192-4BEF-467C-97FF-58FB9213BD2B}</author>
    <author>tc={F67E01E1-46DE-4D6F-998D-257260FF533C}</author>
    <author>tc={B38E57C3-99F6-46A9-A54F-430328F380BF}</author>
    <author>tc={3E35DD65-E2E6-4F7C-AB33-1F0D69C34B8A}</author>
    <author>tc={7A3A9239-8BF7-4F02-BFE6-B84D24FF4BAD}</author>
    <author>tc={6646E823-E49F-4817-9F95-523C2DA81955}</author>
  </authors>
  <commentList>
    <comment ref="R4" authorId="0" shapeId="0" xr:uid="{00000000-0006-0000-00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Excel Rubén (datos Almería?)</t>
      </text>
    </comment>
    <comment ref="F18" authorId="1" shapeId="0" xr:uid="{00000000-0006-0000-00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Mismas concentraciones que Q7 y Q8</t>
      </text>
    </comment>
    <comment ref="J18" authorId="2" shapeId="0" xr:uid="{00000000-0006-0000-0000-000003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Concentraciones igual que la purga (para sacar los flujos másicos)</t>
      </text>
    </comment>
    <comment ref="Q18" authorId="3" shapeId="0" xr:uid="{00000000-0006-0000-0000-000004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Artículo Javiera</t>
      </text>
    </comment>
    <comment ref="U18" authorId="4" shapeId="0" xr:uid="{00000000-0006-0000-0000-000005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Del Excel de Rubén</t>
      </text>
    </comment>
    <comment ref="G20" authorId="5" shapeId="0" xr:uid="{00000000-0006-0000-0000-000006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La entrada al reactor tiene que ser una dilución del purín del 10%</t>
      </text>
    </comment>
    <comment ref="D22" authorId="6" shapeId="0" xr:uid="{00000000-0006-0000-0000-000007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Se resta al total sólo los sólidos</t>
      </text>
    </comment>
    <comment ref="R24" authorId="7" shapeId="0" xr:uid="{00000000-0006-0000-0000-000008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Del Excel de Rubén</t>
      </text>
    </comment>
    <comment ref="Q26" authorId="8" shapeId="0" xr:uid="{00000000-0006-0000-0000-000009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Artículo Javiera</t>
      </text>
    </comment>
    <comment ref="V27" authorId="9" shapeId="0" xr:uid="{00000000-0006-0000-0000-00000A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Area calculado según Excel Rubén</t>
      </text>
    </comment>
    <comment ref="L28" authorId="10" shapeId="0" xr:uid="{00000000-0006-0000-0000-00000B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Suma del TOC de la alga y lo que no se ha eliminado en el sistema.
Se hace igual para el TN y el TP</t>
      </text>
    </comment>
    <comment ref="U30" authorId="11" shapeId="0" xr:uid="{00000000-0006-0000-0000-00000C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Artículo Javiera</t>
      </text>
    </comment>
    <comment ref="H32" authorId="12" shapeId="0" xr:uid="{00000000-0006-0000-0000-00000D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Pérdidas del 10% (buscar referencia de reactor que mida eso)</t>
      </text>
    </comment>
    <comment ref="J33" authorId="13" shapeId="0" xr:uid="{00000000-0006-0000-0000-00000E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Valor obtenido del Ecxel de Ruben y confirmado por Silvia 10/10/22</t>
      </text>
    </comment>
    <comment ref="N35" authorId="14" shapeId="0" xr:uid="{00000000-0006-0000-0000-00000F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Añadir fosfato hasta concentración 20g/l</t>
      </text>
    </comment>
    <comment ref="Q35" authorId="15" shapeId="0" xr:uid="{00000000-0006-0000-0000-000010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Artículo Javiera</t>
      </text>
    </comment>
    <comment ref="U35" authorId="16" shapeId="0" xr:uid="{00000000-0006-0000-0000-00001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Artículo Javiera</t>
      </text>
    </comment>
    <comment ref="R39" authorId="17" shapeId="0" xr:uid="{00000000-0006-0000-0000-00001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Excel Rubén</t>
      </text>
    </comment>
    <comment ref="V56" authorId="18" shapeId="0" xr:uid="{00000000-0006-0000-0000-000013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LPS a 5 bar y 150ºC</t>
      </text>
    </comment>
    <comment ref="J68" authorId="19" shapeId="0" xr:uid="{00000000-0006-0000-0000-000014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Meter aquí las bombas</t>
      </text>
    </comment>
    <comment ref="B74" authorId="20" shapeId="0" xr:uid="{00000000-0006-0000-0000-000015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Fasaie 2018</t>
      </text>
    </comment>
    <comment ref="K88" authorId="21" shapeId="0" xr:uid="{00000000-0006-0000-0000-000016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Valores medios</t>
      </text>
    </comment>
    <comment ref="D90" authorId="22" shapeId="0" xr:uid="{00000000-0006-0000-0000-000017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Llamas 2021</t>
        </r>
      </text>
    </comment>
    <comment ref="D91" authorId="23" shapeId="0" xr:uid="{00000000-0006-0000-0000-000018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Artículo Victor</t>
      </text>
    </comment>
    <comment ref="D92" authorId="22" shapeId="0" xr:uid="{00000000-0006-0000-0000-000019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 Llamas 2021</t>
        </r>
      </text>
    </comment>
    <comment ref="D94" authorId="22" shapeId="0" xr:uid="{00000000-0006-0000-0000-00001A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Referencia (Eurostat o REE)</t>
        </r>
      </text>
    </comment>
    <comment ref="D95" authorId="22" shapeId="0" xr:uid="{00000000-0006-0000-0000-00001B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Romero García 2022</t>
        </r>
      </text>
    </comment>
    <comment ref="D98" authorId="22" shapeId="0" xr:uid="{00000000-0006-0000-0000-00001C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Victor 2022</t>
        </r>
      </text>
    </comment>
    <comment ref="D103" authorId="24" shapeId="0" xr:uid="{00000000-0006-0000-0000-00001D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Dato de Grabriel</t>
      </text>
    </comment>
    <comment ref="D115" authorId="25" shapeId="0" xr:uid="{00000000-0006-0000-0000-00001E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Mirar cuanto sube la temperatura</t>
      </text>
    </comment>
    <comment ref="D116" authorId="26" shapeId="0" xr:uid="{00000000-0006-0000-0000-00001F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https://www.ingenierosindustriales.com/calculo-del-caudal-de-agua-en-instalaciones-de-calefaccion-o-climatizacion/</t>
      </text>
    </comment>
    <comment ref="D117" authorId="27" shapeId="0" xr:uid="{00000000-0006-0000-0000-000020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Dato de Grabriel (memoria Greenfarm)</t>
      </text>
    </comment>
    <comment ref="L119" authorId="28" shapeId="0" xr:uid="{00000000-0006-0000-0000-00002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https://www.kochseparation.com/technologies/membrane-filtration/puron-mbr-and-pulsion-mbr-modules/#datasheets</t>
      </text>
    </comment>
    <comment ref="B131" authorId="29" shapeId="0" xr:uid="{00000000-0006-0000-0000-00002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Sacado de mi Excel del TFG</t>
      </text>
    </comment>
    <comment ref="K153" authorId="30" shapeId="0" xr:uid="{00000000-0006-0000-0000-000023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Fertiberia 
https://fercampo.com/catalogo-de-productos/nutricion-vegetal/fertilizantes-liquidos/</t>
      </text>
    </comment>
    <comment ref="M155" authorId="31" shapeId="0" xr:uid="{00000000-0006-0000-0000-000024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https://www.fertiberia.com/es/agricultura/productos/categorias/foliar/especiales/energrow-green-mo/</t>
      </text>
    </comment>
    <comment ref="O155" authorId="32" shapeId="0" xr:uid="{00000000-0006-0000-0000-000025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https://www.fertiberia.com/es/agricultura/productos/categorias/foliar/complejos/glugel-12-24-12/</t>
      </text>
    </comment>
    <comment ref="Q155" authorId="33" shapeId="0" xr:uid="{00000000-0006-0000-0000-000026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https://fercampo.com/catalogo-de-productos/nutricion-vegetal/fertilizantes-liquidos/</t>
      </text>
    </comment>
    <comment ref="M159" authorId="34" shapeId="0" xr:uid="{00000000-0006-0000-0000-000027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Al año</t>
      </text>
    </comment>
    <comment ref="O159" authorId="35" shapeId="0" xr:uid="{00000000-0006-0000-0000-000028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Al mes son 5L/ha</t>
      </text>
    </comment>
    <comment ref="Q159" authorId="36" shapeId="0" xr:uid="{00000000-0006-0000-0000-000029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Al mes son 5L/ha</t>
      </text>
    </comment>
    <comment ref="D194" authorId="37" shapeId="0" xr:uid="{00000000-0006-0000-0000-00002A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Altura depósito purin = 3m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tc={00C71CFA-2F56-4AB9-BD4E-8B5E142A4A70}</author>
    <author>tc={58682DE4-CE9B-42A7-AAA4-0D623053BCE4}</author>
    <author>tc={790FC3F1-5C1A-47DE-8911-98F5D1897593}</author>
    <author>tc={053CE122-DEE9-417A-AD64-BD45EEBD9290}</author>
  </authors>
  <commentList>
    <comment ref="S4" authorId="0" shapeId="0" xr:uid="{00000000-0006-0000-01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Flujo total de producto (no tiene en cuenta la ha)</t>
      </text>
    </comment>
    <comment ref="B6" authorId="1" shapeId="0" xr:uid="{00000000-0006-0000-01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GFRP (glass fiber reinforced polymer)
Abreviatura de https://www.sciencedirect.com/science/article/pii/S2092678222000280</t>
      </text>
    </comment>
    <comment ref="M11" authorId="2" shapeId="0" xr:uid="{00000000-0006-0000-0100-000003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https://www.sciencedirect.com/science/article/pii/S0360544222006788</t>
      </text>
    </comment>
    <comment ref="C40" authorId="3" shapeId="0" xr:uid="{00000000-0006-0000-0100-000004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Media entre escenario 1 y 2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tc={3E1E4BE4-61AD-4D6B-8518-2951FE7A1C8B}</author>
    <author>tc={C7DB8B24-27D2-4E5D-8918-99A839FDB533}</author>
    <author>tc={90468D3F-6BD2-498E-BDFF-F002CC15A6A5}</author>
    <author>tc={CCED1CD6-299A-46B7-AFF7-486E3F50B224}</author>
    <author>tc={5FD98F95-A0A3-4D62-815A-F97D98882D10}</author>
    <author>tc={264CF089-5BFE-442F-B531-65A1CC3404F3}</author>
    <author>tc={9B14A3B4-121C-4B06-B6F2-CDDFD3C6F98B}</author>
    <author>tc={062C44F4-C37E-4051-978E-037DE591D5CE}</author>
    <author>tc={F62DBFAD-7514-4289-9785-CBDEB8BCFC0C}</author>
    <author>tc={16FF893D-9320-4CCC-9B03-591122AC4217}</author>
    <author>tc={7496416B-4706-4AB4-A437-8EE9C5A722A8}</author>
    <author>tc={A944B521-4BB8-4092-821F-D77440659D42}</author>
    <author>tc={E1EE7D55-E4E7-4D7D-9880-3BCBAFEB530A}</author>
  </authors>
  <commentList>
    <comment ref="G22" authorId="0" shapeId="0" xr:uid="{00000000-0006-0000-02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Cuadra con lo de Tua 2021</t>
      </text>
    </comment>
    <comment ref="B28" authorId="1" shapeId="0" xr:uid="{00000000-0006-0000-02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Bloque nombrado en SimaPro "Microalgae cultivation Q6"</t>
      </text>
    </comment>
    <comment ref="C39" authorId="2" shapeId="0" xr:uid="{00000000-0006-0000-0200-000003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No hace falta meterlo, está incluido dentro del flujo Q6</t>
      </text>
    </comment>
    <comment ref="B40" authorId="3" shapeId="0" xr:uid="{00000000-0006-0000-0200-000004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https://www.mdpi.com/2304-8158/11/19/3053
Hernández 2022
</t>
      </text>
    </comment>
    <comment ref="C42" authorId="4" shapeId="0" xr:uid="{00000000-0006-0000-0200-000005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Venancio 2020, eficacia de fijación de CO2 = 62%</t>
      </text>
    </comment>
    <comment ref="B44" authorId="5" shapeId="0" xr:uid="{00000000-0006-0000-0200-000006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https://www.sciencedirect.com/science/article/pii/S0921344922004116#sec0002
Silva 2022 "In the cultivation stage, total N, total P, and water avoided due to the use of effluent as a cultivation medium were considered".
Nutrientes no emitidos al medioambiente (tabla 3)</t>
      </text>
    </comment>
    <comment ref="B56" authorId="6" shapeId="0" xr:uid="{00000000-0006-0000-0200-000007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Bloque nombrado en SimaPro "Biomass Harvesting Q9"</t>
      </text>
    </comment>
    <comment ref="B63" authorId="7" shapeId="0" xr:uid="{00000000-0006-0000-0200-000008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Emisión evitada</t>
      </text>
    </comment>
    <comment ref="B66" authorId="8" shapeId="0" xr:uid="{00000000-0006-0000-0200-000009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Bloque nombrado en SimaPro "US pretreatment (Q10)"</t>
      </text>
    </comment>
    <comment ref="B75" authorId="9" shapeId="0" xr:uid="{00000000-0006-0000-0200-00000A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Bloque nombrado en SimaPro "Biostimulant production (Q11)"</t>
      </text>
    </comment>
    <comment ref="B82" authorId="10" shapeId="0" xr:uid="{00000000-0006-0000-0200-00000B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Basado en Pechrisi 2023, coger de la base de datos de EcoInvent la alpha-amilasa</t>
      </text>
    </comment>
    <comment ref="B83" authorId="11" shapeId="0" xr:uid="{00000000-0006-0000-0200-00000C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Basado en Pechrisi 2023</t>
      </text>
    </comment>
    <comment ref="B87" authorId="12" shapeId="0" xr:uid="{00000000-0006-0000-0200-00000D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https://www.sciencedirect.com/science/article/pii/S0921344922004116#sec0002
Silva 2022
https://www.sciencedirect.com/science/article/pii/S2211926422000960#s0010
Nilsson 2022
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tc={EAE8B714-86FA-4650-8604-E570AC9F463D}</author>
  </authors>
  <commentList>
    <comment ref="AM4" authorId="0" shapeId="0" xr:uid="{00000000-0006-0000-0300-000001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 Integrated microalgal biorefinery for the production and application of biostimulants in circular bioeconomy 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tc={29A081AA-ECB4-424C-AA43-A331A03E166E}</author>
    <author>tc={54A9FE70-3FC1-49BF-8FC2-82EC62F5310D}</author>
    <author>tc={1DE8C8C5-E5A9-4448-9471-D03DC9B0399F}</author>
  </authors>
  <commentList>
    <comment ref="AM4" authorId="0" shapeId="0" xr:uid="{00000000-0006-0000-0400-000001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 Integrated microalgal biorefinery for the production and application of biostimulants in circular bioeconomy </t>
      </text>
    </comment>
    <comment ref="E93" authorId="1" shapeId="0" xr:uid="{00000000-0006-0000-0400-000002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 tenido en cuenta como tampoco en el flue gas, 53,1
</t>
      </text>
    </comment>
    <comment ref="E137" authorId="2" shapeId="0" xr:uid="{00000000-0006-0000-0400-000003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 tenido en cuenta como tampoco en el flue gas, 53,1
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tc={1F1DF051-4624-440F-BD56-0A5B7D73A69A}</author>
    <author>tc={D1227524-F7A8-4024-9C52-682F6BD48445}</author>
    <author>tc={FA27C05C-1395-4B0A-9FBA-D614550C03CA}</author>
  </authors>
  <commentList>
    <comment ref="AM4" authorId="0" shapeId="0" xr:uid="{00000000-0006-0000-0500-000001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 Integrated microalgal biorefinery for the production and application of biostimulants in circular bioeconomy </t>
      </text>
    </comment>
    <comment ref="E93" authorId="1" shapeId="0" xr:uid="{00000000-0006-0000-0500-000002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 tenido en cuenta como tampoco en el flue gas, 53,1
</t>
      </text>
    </comment>
    <comment ref="E137" authorId="2" shapeId="0" xr:uid="{00000000-0006-0000-0500-000003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 tenido en cuenta como tampoco en el flue gas, 53,1
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tc={B5196E0E-A255-4A2C-9D15-845AFB53BFC2}</author>
    <author>tc={7E62EAF2-D5B5-4737-9BA4-5FF72BD50263}</author>
    <author>tc={09DC9183-4012-4ADD-ADEC-28C484B17AD9}</author>
  </authors>
  <commentList>
    <comment ref="AM4" authorId="0" shapeId="0" xr:uid="{00000000-0006-0000-0600-000001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 Integrated microalgal biorefinery for the production and application of biostimulants in circular bioeconomy </t>
      </text>
    </comment>
    <comment ref="E93" authorId="1" shapeId="0" xr:uid="{00000000-0006-0000-0600-000002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 tenido en cuenta como tampoco en el flue gas, 53,1
</t>
      </text>
    </comment>
    <comment ref="E137" authorId="2" shapeId="0" xr:uid="{00000000-0006-0000-0600-000003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 tenido en cuenta como tampoco en el flue gas, 53,1
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tc={5DBC5073-BE03-4DB8-82A2-06961B1F9E38}</author>
    <author>tc={27380E0A-919E-494C-9D46-0E197426011C}</author>
    <author>tc={DA5E95D3-0762-4E51-9F9E-DBB097E523F0}</author>
  </authors>
  <commentList>
    <comment ref="AM4" authorId="0" shapeId="0" xr:uid="{00000000-0006-0000-0700-000001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 Integrated microalgal biorefinery for the production and application of biostimulants in circular bioeconomy </t>
      </text>
    </comment>
    <comment ref="E93" authorId="1" shapeId="0" xr:uid="{00000000-0006-0000-0700-000002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 tenido en cuenta como tampoco en el flue gas, 53,1
</t>
      </text>
    </comment>
    <comment ref="E137" authorId="2" shapeId="0" xr:uid="{00000000-0006-0000-0700-000003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 tenido en cuenta como tampoco en el flue gas, 53,1
</t>
      </text>
    </comment>
  </commentList>
</comments>
</file>

<file path=xl/sharedStrings.xml><?xml version="1.0" encoding="utf-8"?>
<sst xmlns="http://schemas.openxmlformats.org/spreadsheetml/2006/main" count="4504" uniqueCount="651">
  <si>
    <t>Rendimientos hidrólisis</t>
  </si>
  <si>
    <t>Proteínas (%)</t>
  </si>
  <si>
    <t>Carbohidratos (%)</t>
  </si>
  <si>
    <t>Lípidos (%)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</si>
  <si>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</si>
  <si>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</si>
  <si>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</si>
  <si>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</si>
  <si>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</si>
  <si>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</si>
  <si>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</si>
  <si>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</si>
  <si>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</si>
  <si>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</si>
  <si>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</si>
  <si>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Parámetros purín fresco</t>
  </si>
  <si>
    <t>Parámetros fertilizante</t>
  </si>
  <si>
    <t>Purín fresco</t>
  </si>
  <si>
    <t>Agua fresca</t>
  </si>
  <si>
    <t>Recirculación</t>
  </si>
  <si>
    <t>Entrada reactor</t>
  </si>
  <si>
    <t>Evaporación</t>
  </si>
  <si>
    <t>Salida reactor</t>
  </si>
  <si>
    <t>Purga</t>
  </si>
  <si>
    <t>Salida US</t>
  </si>
  <si>
    <t>Bioestimulante</t>
  </si>
  <si>
    <t>SST</t>
  </si>
  <si>
    <t>mg/L</t>
  </si>
  <si>
    <t>C</t>
  </si>
  <si>
    <t>%</t>
  </si>
  <si>
    <t>Q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</si>
  <si>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/d</t>
    </r>
  </si>
  <si>
    <t>TOC</t>
  </si>
  <si>
    <t>N</t>
  </si>
  <si>
    <t>kg/d</t>
  </si>
  <si>
    <t>TN</t>
  </si>
  <si>
    <t>P</t>
  </si>
  <si>
    <t>Agua</t>
  </si>
  <si>
    <t>Amonio</t>
  </si>
  <si>
    <t>-</t>
  </si>
  <si>
    <t>TP</t>
  </si>
  <si>
    <t>Membrana</t>
  </si>
  <si>
    <t>Microalga</t>
  </si>
  <si>
    <t>Pérdidas</t>
  </si>
  <si>
    <t>Parámetros fotobiorreactor</t>
  </si>
  <si>
    <t>Cálculo fotobiorreactor</t>
  </si>
  <si>
    <t>Dilución purín</t>
  </si>
  <si>
    <t>Area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</si>
  <si>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</si>
  <si>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Volumen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</si>
  <si>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</si>
  <si>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Tiempo</t>
  </si>
  <si>
    <t>d</t>
  </si>
  <si>
    <t>Altura</t>
  </si>
  <si>
    <t>cm</t>
  </si>
  <si>
    <t>Eliminaciones fotobiorreactor</t>
  </si>
  <si>
    <r>
      <t>L/m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/d</t>
    </r>
  </si>
  <si>
    <t>[Alga seca]</t>
  </si>
  <si>
    <t>g/L</t>
  </si>
  <si>
    <t>Productividad</t>
  </si>
  <si>
    <r>
      <t>g/m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/d</t>
    </r>
  </si>
  <si>
    <t>Composición microalga</t>
  </si>
  <si>
    <t>Proteínas</t>
  </si>
  <si>
    <t>Flujo</t>
  </si>
  <si>
    <r>
      <t>L/m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/h</t>
    </r>
  </si>
  <si>
    <t>Carbohidratos</t>
  </si>
  <si>
    <t>[Retenido]</t>
  </si>
  <si>
    <t>Lípidos</t>
  </si>
  <si>
    <t>Factor []</t>
  </si>
  <si>
    <t>N-NH4 que se transforma en N-proteina</t>
  </si>
  <si>
    <t>Amonio: si no se ha transformado en P</t>
  </si>
  <si>
    <t>Comprobación del balance</t>
  </si>
  <si>
    <t>Entrada</t>
  </si>
  <si>
    <t>Salida</t>
  </si>
  <si>
    <t>Biomasa</t>
  </si>
  <si>
    <t>EQUIPOS</t>
  </si>
  <si>
    <t>Fotobiorreactor</t>
  </si>
  <si>
    <t>Ultrasonidos</t>
  </si>
  <si>
    <t>Reactor hidrólisis</t>
  </si>
  <si>
    <t>Tanque final</t>
  </si>
  <si>
    <t>Potencia</t>
  </si>
  <si>
    <t>W</t>
  </si>
  <si>
    <t>Enzima</t>
  </si>
  <si>
    <t>Caudal</t>
  </si>
  <si>
    <t>Tiempo uso</t>
  </si>
  <si>
    <t>h</t>
  </si>
  <si>
    <t>Total enzima</t>
  </si>
  <si>
    <t>m</t>
  </si>
  <si>
    <t>Modelo</t>
  </si>
  <si>
    <t>Energía</t>
  </si>
  <si>
    <t>MJ/kg</t>
  </si>
  <si>
    <t>Coste unitario</t>
  </si>
  <si>
    <t>€/kg</t>
  </si>
  <si>
    <r>
      <t>€/m</t>
    </r>
    <r>
      <rPr>
        <vertAlign val="superscript"/>
        <sz val="11"/>
        <color theme="1"/>
        <rFont val="Calibri"/>
        <family val="2"/>
        <scheme val="minor"/>
      </rPr>
      <t>3</t>
    </r>
  </si>
  <si>
    <t>Energía total</t>
  </si>
  <si>
    <t>MJ/d</t>
  </si>
  <si>
    <t>Coste total</t>
  </si>
  <si>
    <t>€/d</t>
  </si>
  <si>
    <t>€</t>
  </si>
  <si>
    <t>Fosfato</t>
  </si>
  <si>
    <t>ESTUDIO TECNOECONÓMICO</t>
  </si>
  <si>
    <t>Calentamiento reactor</t>
  </si>
  <si>
    <t>COSTES Y EQUIPOS</t>
  </si>
  <si>
    <t>Flow</t>
  </si>
  <si>
    <t>Necesidades calorificas</t>
  </si>
  <si>
    <t>Equipo</t>
  </si>
  <si>
    <t>Tamaño mínimo unidad</t>
  </si>
  <si>
    <t>Coste (€/uni)</t>
  </si>
  <si>
    <t>Capacidad</t>
  </si>
  <si>
    <t>Item</t>
  </si>
  <si>
    <t>Descripción</t>
  </si>
  <si>
    <t>Unidades</t>
  </si>
  <si>
    <t>Total (€)</t>
  </si>
  <si>
    <t>kJ/día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</si>
  <si>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/h</t>
    </r>
  </si>
  <si>
    <t>Unidad de preparación de medio</t>
  </si>
  <si>
    <t>T inicial</t>
  </si>
  <si>
    <t>ºC</t>
  </si>
  <si>
    <t>kW</t>
  </si>
  <si>
    <t>Compresor de aire</t>
  </si>
  <si>
    <t>T final</t>
  </si>
  <si>
    <t>kg/h</t>
  </si>
  <si>
    <r>
      <t>Unidad de suministro de CO</t>
    </r>
    <r>
      <rPr>
        <vertAlign val="subscript"/>
        <sz val="11"/>
        <color theme="1"/>
        <rFont val="Calibri"/>
        <family val="2"/>
        <scheme val="minor"/>
      </rPr>
      <t>2</t>
    </r>
  </si>
  <si>
    <t>Cp</t>
  </si>
  <si>
    <t>J/kg·ºC</t>
  </si>
  <si>
    <t>T2</t>
  </si>
  <si>
    <t>T1</t>
  </si>
  <si>
    <t>Sistema de ultrasonidos</t>
  </si>
  <si>
    <t>Flujo vapor necesario (LPS a 2 bar)</t>
  </si>
  <si>
    <t>Reactor de hidrólisis</t>
  </si>
  <si>
    <t>Tanque final de almacenamiento</t>
  </si>
  <si>
    <t>λ</t>
  </si>
  <si>
    <t>kJ/kg</t>
  </si>
  <si>
    <t>Bomba corriente 1</t>
  </si>
  <si>
    <t>mf</t>
  </si>
  <si>
    <t>kg/s</t>
  </si>
  <si>
    <t>Bomba corriente 2</t>
  </si>
  <si>
    <t>kg/día</t>
  </si>
  <si>
    <t>Bomba corriente 3</t>
  </si>
  <si>
    <t>T</t>
  </si>
  <si>
    <t>Bomba corriente 6</t>
  </si>
  <si>
    <t>Bomba corriente 9</t>
  </si>
  <si>
    <t>Bomba corriente 10</t>
  </si>
  <si>
    <t>Bomba corriente 11</t>
  </si>
  <si>
    <t>Factor exponencial</t>
  </si>
  <si>
    <t>Tasa inflación EE.UU (2014 - 2022)</t>
  </si>
  <si>
    <t>CAPITAL FIJO</t>
  </si>
  <si>
    <t>Factor</t>
  </si>
  <si>
    <t>Coste (€)</t>
  </si>
  <si>
    <t>Coste total de equipos</t>
  </si>
  <si>
    <t>COSTES RELEVANTES</t>
  </si>
  <si>
    <t>Horas</t>
  </si>
  <si>
    <t>Días</t>
  </si>
  <si>
    <t>Costes de instalación</t>
  </si>
  <si>
    <t>Instrumentación y control</t>
  </si>
  <si>
    <t>Tubería</t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</si>
  <si>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</si>
  <si>
    <t>Sistemas eléctricos</t>
  </si>
  <si>
    <t>Fertilizantes</t>
  </si>
  <si>
    <t>Edificios</t>
  </si>
  <si>
    <t>€/kWh</t>
  </si>
  <si>
    <t>Mejoras de terreno</t>
  </si>
  <si>
    <t>Enzimas</t>
  </si>
  <si>
    <t>Servicios</t>
  </si>
  <si>
    <t>Agua enfriamiento</t>
  </si>
  <si>
    <t>Terreno</t>
  </si>
  <si>
    <t>Ingeniería y supervisión</t>
  </si>
  <si>
    <t>LPS 2 bar</t>
  </si>
  <si>
    <t>Gastos de construcción</t>
  </si>
  <si>
    <t>CONSUMOS DE ENERGÍA</t>
  </si>
  <si>
    <t>Contratista</t>
  </si>
  <si>
    <t>Mezclado thin-layer</t>
  </si>
  <si>
    <r>
      <t>W/m</t>
    </r>
    <r>
      <rPr>
        <vertAlign val="superscript"/>
        <sz val="11"/>
        <color theme="1"/>
        <rFont val="Calibri"/>
        <family val="2"/>
        <scheme val="minor"/>
      </rPr>
      <t>3</t>
    </r>
  </si>
  <si>
    <t>Contingencia</t>
  </si>
  <si>
    <t>Energía TL</t>
  </si>
  <si>
    <t>kWh/d</t>
  </si>
  <si>
    <t>Mezclado reactor</t>
  </si>
  <si>
    <r>
      <t>kW/m</t>
    </r>
    <r>
      <rPr>
        <vertAlign val="superscript"/>
        <sz val="11"/>
        <color theme="1"/>
        <rFont val="Calibri"/>
        <family val="2"/>
        <scheme val="minor"/>
      </rPr>
      <t>3</t>
    </r>
  </si>
  <si>
    <t>CAPITAL FIJO ANUAL</t>
  </si>
  <si>
    <t>Energía reactor</t>
  </si>
  <si>
    <t>kWh</t>
  </si>
  <si>
    <t>Tiempo de vida</t>
  </si>
  <si>
    <t>Total mezclado</t>
  </si>
  <si>
    <t>Depreciación</t>
  </si>
  <si>
    <t>US</t>
  </si>
  <si>
    <t>Impuesto sobre bienes (1% depreciación)</t>
  </si>
  <si>
    <t>Energía US</t>
  </si>
  <si>
    <t>Seguros (0,6% depreciación)</t>
  </si>
  <si>
    <t>Impuesto IVA (21% items 1-12/tiempo)</t>
  </si>
  <si>
    <t>MJ</t>
  </si>
  <si>
    <t>Calor reactor</t>
  </si>
  <si>
    <t>Mantener a 50ºC y subir desde 30ºC</t>
  </si>
  <si>
    <t>Flujo LPS 120ºC y 2 bar</t>
  </si>
  <si>
    <t>COSTES PRODUCCIÓN DIRECTOS</t>
  </si>
  <si>
    <t>OPEX (OMC)</t>
  </si>
  <si>
    <t>Distribución</t>
  </si>
  <si>
    <t>Raw material</t>
  </si>
  <si>
    <t>Utilities</t>
  </si>
  <si>
    <t>Labor</t>
  </si>
  <si>
    <t>Materia prima</t>
  </si>
  <si>
    <t>Cantidad anual</t>
  </si>
  <si>
    <t>€/unidad</t>
  </si>
  <si>
    <t>IC</t>
  </si>
  <si>
    <t>Capex</t>
  </si>
  <si>
    <t>Fertilizers</t>
  </si>
  <si>
    <t>Energy</t>
  </si>
  <si>
    <t>Calor US</t>
  </si>
  <si>
    <t>OMC</t>
  </si>
  <si>
    <t>Opex</t>
  </si>
  <si>
    <t>Water</t>
  </si>
  <si>
    <t>Heat water</t>
  </si>
  <si>
    <t>Supervision</t>
  </si>
  <si>
    <t>Flujo agua necesario US (enfriar)</t>
  </si>
  <si>
    <t>Total</t>
  </si>
  <si>
    <t>Payroll charges</t>
  </si>
  <si>
    <t>Enzymes</t>
  </si>
  <si>
    <t>Maintenance</t>
  </si>
  <si>
    <r>
      <t>kWh/m</t>
    </r>
    <r>
      <rPr>
        <vertAlign val="superscript"/>
        <sz val="11"/>
        <color theme="1"/>
        <rFont val="Calibri"/>
        <family val="2"/>
        <scheme val="minor"/>
      </rPr>
      <t>3</t>
    </r>
  </si>
  <si>
    <t>Phosphate</t>
  </si>
  <si>
    <t>Operating supplies</t>
  </si>
  <si>
    <t>Membranas</t>
  </si>
  <si>
    <t>General plant overheads</t>
  </si>
  <si>
    <t>Tax</t>
  </si>
  <si>
    <t>CASO ESCENARIO 1</t>
  </si>
  <si>
    <t>TOTAL</t>
  </si>
  <si>
    <t>Contingency</t>
  </si>
  <si>
    <t>Tiempo operación</t>
  </si>
  <si>
    <t>Marketing</t>
  </si>
  <si>
    <t>Tasa dilución</t>
  </si>
  <si>
    <t>1/d</t>
  </si>
  <si>
    <t>Flujo aire</t>
  </si>
  <si>
    <t>v/v/min</t>
  </si>
  <si>
    <r>
      <t>Consumo CO</t>
    </r>
    <r>
      <rPr>
        <vertAlign val="subscript"/>
        <sz val="11"/>
        <color theme="1"/>
        <rFont val="Calibri"/>
        <family val="2"/>
        <scheme val="minor"/>
      </rPr>
      <t>2</t>
    </r>
  </si>
  <si>
    <t>kg/kg alga</t>
  </si>
  <si>
    <r>
      <t>Agua enfriamiento US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</si>
  <si>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B</t>
  </si>
  <si>
    <t>g/L/d</t>
  </si>
  <si>
    <t>Consumo enzimas</t>
  </si>
  <si>
    <t>Personal y otros</t>
  </si>
  <si>
    <t>Personal</t>
  </si>
  <si>
    <t>Supervision (20% de personal)</t>
  </si>
  <si>
    <t>P (Q1)</t>
  </si>
  <si>
    <t>Cargos de nómica (25% de personal + supervisión)</t>
  </si>
  <si>
    <t>P (Q2)</t>
  </si>
  <si>
    <t>Mantenimiento (4% de equipos totales)</t>
  </si>
  <si>
    <t>P (Q3)</t>
  </si>
  <si>
    <t>Suministros de operación (0,4% de materia prima)</t>
  </si>
  <si>
    <t>P (Q6)</t>
  </si>
  <si>
    <t>Gastos generales planta (55% de personal + supervision + mantenimiento)</t>
  </si>
  <si>
    <t>P (Q9)</t>
  </si>
  <si>
    <t>Impuestos (21% de materia prima + utilities + mantenimiento + suministros)</t>
  </si>
  <si>
    <t>P (Q10)</t>
  </si>
  <si>
    <t>Contingencia (5% de materia prima + utilities)</t>
  </si>
  <si>
    <t>P (Q11)</t>
  </si>
  <si>
    <t>Marketing (5% de materia prima + utilities + supervisicion + cargos + mantenimiento + suministros + gastos gener.)</t>
  </si>
  <si>
    <t>COSTES TOTALES</t>
  </si>
  <si>
    <t>Capital fijo anual</t>
  </si>
  <si>
    <t>COSTE DE PRODUCCIÓN TOTAL</t>
  </si>
  <si>
    <r>
      <t>COSTE UNITARIO PRODUCCIÓN BIOESTIMULANTE (€/m</t>
    </r>
    <r>
      <rPr>
        <b/>
        <vertAlign val="superscript"/>
        <sz val="11"/>
        <color theme="0"/>
        <rFont val="Calibri"/>
        <family val="2"/>
        <scheme val="minor"/>
      </rPr>
      <t>3</t>
    </r>
    <r>
      <rPr>
        <b/>
        <sz val="11"/>
        <color theme="0"/>
        <rFont val="Calibri"/>
        <family val="2"/>
        <scheme val="minor"/>
      </rPr>
      <t>)</t>
    </r>
  </si>
  <si>
    <r>
      <t>COSTE TOTAL TRATAMIENTO PURÍN (€/m</t>
    </r>
    <r>
      <rPr>
        <b/>
        <vertAlign val="superscript"/>
        <sz val="11"/>
        <color theme="0"/>
        <rFont val="Calibri"/>
        <family val="2"/>
        <scheme val="minor"/>
      </rPr>
      <t>3</t>
    </r>
    <r>
      <rPr>
        <b/>
        <sz val="11"/>
        <color theme="0"/>
        <rFont val="Calibri"/>
        <family val="2"/>
        <scheme val="minor"/>
      </rPr>
      <t>)</t>
    </r>
  </si>
  <si>
    <t>BALANCE ECONÓMICO</t>
  </si>
  <si>
    <t>PRODUCTO OBTENIDO (uso en 1 año y 1 hectárea)</t>
  </si>
  <si>
    <t>CAPEX</t>
  </si>
  <si>
    <t>K (IC)</t>
  </si>
  <si>
    <t>Energrow Green</t>
  </si>
  <si>
    <t>NPK 12-24-12</t>
  </si>
  <si>
    <t>OPEX</t>
  </si>
  <si>
    <t>OMC (€/year)</t>
  </si>
  <si>
    <t>C (%)</t>
  </si>
  <si>
    <t>i</t>
  </si>
  <si>
    <t>N (%)</t>
  </si>
  <si>
    <t>j</t>
  </si>
  <si>
    <t>P (%)</t>
  </si>
  <si>
    <t>Uso (L/ha·year)</t>
  </si>
  <si>
    <t>TAEC</t>
  </si>
  <si>
    <t>€/año</t>
  </si>
  <si>
    <t>Coste unit (€/L)</t>
  </si>
  <si>
    <r>
      <t>€/m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</si>
  <si>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C (kg/ha)</t>
  </si>
  <si>
    <t>N (kg/ha)</t>
  </si>
  <si>
    <t>Coste fijo total + coste fijo año - depreciación</t>
  </si>
  <si>
    <t>P (kg/ha)</t>
  </si>
  <si>
    <t>OMC (€/año)</t>
  </si>
  <si>
    <t>Costes de operación y mantenimiento</t>
  </si>
  <si>
    <t>Coste final (€/ha·year)</t>
  </si>
  <si>
    <t>i (%)</t>
  </si>
  <si>
    <t>interés</t>
  </si>
  <si>
    <t>j (años)</t>
  </si>
  <si>
    <t>vida útil</t>
  </si>
  <si>
    <t>C/N</t>
  </si>
  <si>
    <t>Costes totales de producción</t>
  </si>
  <si>
    <t>Producción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</si>
  <si>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/año</t>
    </r>
  </si>
  <si>
    <t>Año</t>
  </si>
  <si>
    <t>Inversión</t>
  </si>
  <si>
    <t>Ingresos</t>
  </si>
  <si>
    <t>Costes</t>
  </si>
  <si>
    <t>Flujo caja</t>
  </si>
  <si>
    <t>Numerador VAN</t>
  </si>
  <si>
    <t>VAN</t>
  </si>
  <si>
    <t>Cuanto cuesta (€)</t>
  </si>
  <si>
    <t>Cuanto vendo (€)</t>
  </si>
  <si>
    <t>kg/año</t>
  </si>
  <si>
    <t>Precio sacado para VAN = 0 y comparar con otros fertilizantes</t>
  </si>
  <si>
    <t>EQUIPOS ASPEN</t>
  </si>
  <si>
    <t>Bombas</t>
  </si>
  <si>
    <t>Corriente</t>
  </si>
  <si>
    <t>Flujo (kg/h)</t>
  </si>
  <si>
    <t>P entrada (bar)</t>
  </si>
  <si>
    <t>P salida (bar)</t>
  </si>
  <si>
    <t>T (ºC)</t>
  </si>
  <si>
    <t>H (m)</t>
  </si>
  <si>
    <r>
      <t>Act. Volume flow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/h)</t>
    </r>
  </si>
  <si>
    <t>Adiabatic efficiency</t>
  </si>
  <si>
    <t>Price (€) año 2021</t>
  </si>
  <si>
    <t>Energía (W)</t>
  </si>
  <si>
    <t>Reactor</t>
  </si>
  <si>
    <t>Caudal (kg/h)</t>
  </si>
  <si>
    <t>Tiempo (h)</t>
  </si>
  <si>
    <r>
      <t>Volumen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</si>
  <si>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Altura (m)</t>
  </si>
  <si>
    <t>Diámetro (m)</t>
  </si>
  <si>
    <t>Electricidad (kW)</t>
  </si>
  <si>
    <t>Prices (€)</t>
  </si>
  <si>
    <t>TOTAL INPUTS</t>
  </si>
  <si>
    <t>Utility</t>
  </si>
  <si>
    <t>kg</t>
  </si>
  <si>
    <t>LPS</t>
  </si>
  <si>
    <t>Amount</t>
  </si>
  <si>
    <t>Units</t>
  </si>
  <si>
    <t>Product</t>
  </si>
  <si>
    <t>PWW</t>
  </si>
  <si>
    <t>Pumps</t>
  </si>
  <si>
    <t>Mixing</t>
  </si>
  <si>
    <t>Biostimulant</t>
  </si>
  <si>
    <t>Irrigation water</t>
  </si>
  <si>
    <t>Input</t>
  </si>
  <si>
    <t>Unit</t>
  </si>
  <si>
    <t>Output</t>
  </si>
  <si>
    <t>Pérdidas calor reactor CSTR</t>
  </si>
  <si>
    <r>
      <t>Q</t>
    </r>
    <r>
      <rPr>
        <vertAlign val="subscript"/>
        <sz val="11"/>
        <color theme="1"/>
        <rFont val="Calibri"/>
        <family val="2"/>
        <scheme val="minor"/>
      </rPr>
      <t>loss</t>
    </r>
  </si>
  <si>
    <r>
      <t>k</t>
    </r>
    <r>
      <rPr>
        <vertAlign val="subscript"/>
        <sz val="11"/>
        <color theme="1"/>
        <rFont val="Calibri"/>
        <family val="2"/>
        <scheme val="minor"/>
      </rPr>
      <t>a</t>
    </r>
  </si>
  <si>
    <t>W/m·K</t>
  </si>
  <si>
    <t>s</t>
  </si>
  <si>
    <t>ΔT</t>
  </si>
  <si>
    <t>K</t>
  </si>
  <si>
    <r>
      <t>Area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</si>
  <si>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TOTAL OUTPUTS</t>
  </si>
  <si>
    <r>
      <t>Water (kg/m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slurry)</t>
    </r>
  </si>
  <si>
    <r>
      <t>Microalgae (kg/m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slurry)</t>
    </r>
  </si>
  <si>
    <r>
      <t>TSS (kg/m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slurry)</t>
    </r>
  </si>
  <si>
    <r>
      <t>TOC (kg/m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slurry)</t>
    </r>
  </si>
  <si>
    <r>
      <t>TN (kg/m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slurry)</t>
    </r>
  </si>
  <si>
    <r>
      <t>Ammonium (kg/m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slurry)</t>
    </r>
  </si>
  <si>
    <r>
      <t>TP (kg/m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slurry)</t>
    </r>
  </si>
  <si>
    <r>
      <t>Protein (kg/m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slurry)</t>
    </r>
  </si>
  <si>
    <r>
      <t>Carbohydrate (kg/m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slurry)</t>
    </r>
  </si>
  <si>
    <r>
      <t>Lipid (kg/m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slurry)</t>
    </r>
  </si>
  <si>
    <t>Portner 2021</t>
  </si>
  <si>
    <t>Air</t>
  </si>
  <si>
    <t>Mix energy</t>
  </si>
  <si>
    <t>Biomass</t>
  </si>
  <si>
    <t>Water evaporation</t>
  </si>
  <si>
    <t>Slurry</t>
  </si>
  <si>
    <t>Recirculation</t>
  </si>
  <si>
    <t>Input reactor</t>
  </si>
  <si>
    <t>Evaporation</t>
  </si>
  <si>
    <t>Output reactor</t>
  </si>
  <si>
    <t>Permeate</t>
  </si>
  <si>
    <t>Purge</t>
  </si>
  <si>
    <t>Concentrated</t>
  </si>
  <si>
    <t>US output</t>
  </si>
  <si>
    <t>THIN-LAYER STRUCTURE</t>
  </si>
  <si>
    <t>Density</t>
  </si>
  <si>
    <t>Value</t>
  </si>
  <si>
    <t>Reference</t>
  </si>
  <si>
    <t>Compound</t>
  </si>
  <si>
    <t>Concrete</t>
  </si>
  <si>
    <t>Glass fiber</t>
  </si>
  <si>
    <t>https://www.sciencedirect.com/science/article/pii/B9780081022283000074</t>
  </si>
  <si>
    <r>
      <t>kg/m</t>
    </r>
    <r>
      <rPr>
        <vertAlign val="superscript"/>
        <sz val="11"/>
        <color theme="1"/>
        <rFont val="Calibri"/>
        <family val="2"/>
        <scheme val="minor"/>
      </rPr>
      <t>3</t>
    </r>
  </si>
  <si>
    <t>Volume</t>
  </si>
  <si>
    <t>Life time</t>
  </si>
  <si>
    <t>year</t>
  </si>
  <si>
    <t>Glass fiber demand</t>
  </si>
  <si>
    <t>Glass fiber per area</t>
  </si>
  <si>
    <t>Material input</t>
  </si>
  <si>
    <t>Material balance</t>
  </si>
  <si>
    <r>
      <t>g/m</t>
    </r>
    <r>
      <rPr>
        <vertAlign val="superscript"/>
        <sz val="11"/>
        <color theme="1"/>
        <rFont val="Calibri"/>
        <family val="2"/>
        <scheme val="minor"/>
      </rPr>
      <t>2</t>
    </r>
  </si>
  <si>
    <t>Thickness</t>
  </si>
  <si>
    <t>mm</t>
  </si>
  <si>
    <t>https://www.mdpi.com/2076-3417/10/15/5130</t>
  </si>
  <si>
    <t>Data base SimaPro</t>
  </si>
  <si>
    <t>Pilot plant Almería</t>
  </si>
  <si>
    <t>PRETREATMENT</t>
  </si>
  <si>
    <t>US energy</t>
  </si>
  <si>
    <t>Heat losses</t>
  </si>
  <si>
    <t>Emissions air</t>
  </si>
  <si>
    <r>
      <t>NH</t>
    </r>
    <r>
      <rPr>
        <vertAlign val="subscript"/>
        <sz val="11"/>
        <color theme="1"/>
        <rFont val="Calibri"/>
        <family val="2"/>
        <scheme val="minor"/>
      </rPr>
      <t>3</t>
    </r>
  </si>
  <si>
    <t>DILUTION AND THIN-LAYER</t>
  </si>
  <si>
    <t>Avoided emission</t>
  </si>
  <si>
    <t>Output (product)</t>
  </si>
  <si>
    <t>Heavy metal</t>
  </si>
  <si>
    <t>Copper</t>
  </si>
  <si>
    <t>Zinc</t>
  </si>
  <si>
    <t>Arsenic</t>
  </si>
  <si>
    <t>Energy pumps (Q1, Q2, Q6)</t>
  </si>
  <si>
    <t>Energy pumps (Q3, Q9)</t>
  </si>
  <si>
    <t>Energy pump (Q10)</t>
  </si>
  <si>
    <t>Energy pumps (Q11)</t>
  </si>
  <si>
    <t>https://www.mdpi.com/2304-8158/11/19/3053</t>
  </si>
  <si>
    <t>kg/kg N</t>
  </si>
  <si>
    <t>https://www.mdpi.com/2079-7737/11/8/1176</t>
  </si>
  <si>
    <t>Entre 12 y 234</t>
  </si>
  <si>
    <t>Entre 4,7 y 148</t>
  </si>
  <si>
    <t>HEAVY METAL CONCENTRATION PWW</t>
  </si>
  <si>
    <t>Cu</t>
  </si>
  <si>
    <t>Zn</t>
  </si>
  <si>
    <t>Ar</t>
  </si>
  <si>
    <t>HM</t>
  </si>
  <si>
    <t>Concentración en el efluente líquido</t>
  </si>
  <si>
    <t>Entre 0,2 y 0,6</t>
  </si>
  <si>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g/L</t>
    </r>
  </si>
  <si>
    <t>Variable</t>
  </si>
  <si>
    <t>Distance</t>
  </si>
  <si>
    <t>km</t>
  </si>
  <si>
    <t>https://www.sciencedirect.com/science/article/pii/S2211926415300898</t>
  </si>
  <si>
    <t>Greenfarm</t>
  </si>
  <si>
    <t>Diesel consume</t>
  </si>
  <si>
    <t>L/km</t>
  </si>
  <si>
    <t>https://www.sciencedirect.com/science/article/pii/S2352186422000748#b21</t>
  </si>
  <si>
    <t>Ammonia</t>
  </si>
  <si>
    <t>Glass fibre</t>
  </si>
  <si>
    <r>
      <t>Q (m</t>
    </r>
    <r>
      <rPr>
        <vertAlign val="superscript"/>
        <sz val="11"/>
        <color theme="1"/>
        <rFont val="Calibri"/>
        <family val="2"/>
        <scheme val="minor"/>
      </rPr>
      <t>3/</t>
    </r>
    <r>
      <rPr>
        <sz val="11"/>
        <color theme="1"/>
        <rFont val="Calibri"/>
        <family val="2"/>
        <scheme val="minor"/>
      </rP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slurry)</t>
    </r>
  </si>
  <si>
    <t>Flow (Q6)</t>
  </si>
  <si>
    <t>Irrigation water (Q8)</t>
  </si>
  <si>
    <t>Solid phase (Q9)</t>
  </si>
  <si>
    <t>Slurry (Q1)</t>
  </si>
  <si>
    <t>Flow (Q10)</t>
  </si>
  <si>
    <t>Flow (Q9)</t>
  </si>
  <si>
    <t>Emissions</t>
  </si>
  <si>
    <r>
      <t>N</t>
    </r>
    <r>
      <rPr>
        <vertAlign val="subscript"/>
        <sz val="11"/>
        <color theme="1"/>
        <rFont val="Calibri"/>
        <family val="2"/>
        <scheme val="minor"/>
      </rPr>
      <t>2</t>
    </r>
  </si>
  <si>
    <t>MJ/kg diesel</t>
  </si>
  <si>
    <t>https://link.springer.com/article/10.1065/lca2004.10.181.10</t>
  </si>
  <si>
    <t>kg/km</t>
  </si>
  <si>
    <t>MJ/km</t>
  </si>
  <si>
    <t>L (kg)</t>
  </si>
  <si>
    <t>Avoided chemical fertilizer</t>
  </si>
  <si>
    <r>
      <t>NO</t>
    </r>
    <r>
      <rPr>
        <vertAlign val="subscript"/>
        <sz val="11"/>
        <color theme="1"/>
        <rFont val="Calibri"/>
        <family val="2"/>
        <scheme val="minor"/>
      </rPr>
      <t>2</t>
    </r>
  </si>
  <si>
    <r>
      <t>BALANCE FUNCTIONAL UNIT (1 m</t>
    </r>
    <r>
      <rPr>
        <b/>
        <vertAlign val="superscript"/>
        <sz val="11"/>
        <color theme="3"/>
        <rFont val="Calibri"/>
        <family val="2"/>
        <scheme val="minor"/>
      </rPr>
      <t>3</t>
    </r>
    <r>
      <rPr>
        <b/>
        <sz val="11"/>
        <color theme="3"/>
        <rFont val="Calibri"/>
        <family val="2"/>
        <scheme val="minor"/>
      </rPr>
      <t xml:space="preserve"> biostimulant)</t>
    </r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</si>
  <si>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</t>
    </r>
  </si>
  <si>
    <r>
      <t>kWh/m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</t>
    </r>
  </si>
  <si>
    <r>
      <t>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</t>
    </r>
  </si>
  <si>
    <t>Tap water {Europe without Switzerland}| market for | Alloc Rec, U</t>
  </si>
  <si>
    <t>Air (in air)</t>
  </si>
  <si>
    <t>Ammonia, ES</t>
  </si>
  <si>
    <t>MICROALGAE CULTIVATION (Q6)</t>
  </si>
  <si>
    <t>BIOMASS HARVESTING (Q9)</t>
  </si>
  <si>
    <t>Tap water {RoW}| tap water production, underground water without treatment | Alloc Rec, U</t>
  </si>
  <si>
    <t>US PRETREATMENT (Q10)</t>
  </si>
  <si>
    <t>Process steam from natural gas, heat plant, consumption mix, at plant, MJ, ES S</t>
  </si>
  <si>
    <t>BIOSTIMULANT PRODUCTION (Q11)</t>
  </si>
  <si>
    <t>Heat, waste</t>
  </si>
  <si>
    <r>
      <t>MJ/m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</t>
    </r>
  </si>
  <si>
    <t>BIOSTIMULANT PRODUCTION</t>
  </si>
  <si>
    <t>Sodium phosphate {GLO}| market for | Alloc Rec, U</t>
  </si>
  <si>
    <t>Electricity, medium voltage {ES}| market for | Alloc Rec, U</t>
  </si>
  <si>
    <t>Carbon dioxide, liquid {RER}| production | Alloc Rec, U</t>
  </si>
  <si>
    <r>
      <t>CO</t>
    </r>
    <r>
      <rPr>
        <vertAlign val="subscript"/>
        <sz val="11"/>
        <rFont val="Calibri"/>
        <family val="2"/>
        <scheme val="minor"/>
      </rPr>
      <t>2</t>
    </r>
  </si>
  <si>
    <r>
      <t>kg/m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 xml:space="preserve"> biostimulant</t>
    </r>
  </si>
  <si>
    <t>Enzyme, Alpha-amylase, Novozyme Liquozyme/kg/RER</t>
  </si>
  <si>
    <t>Nitrogen fertiliser, as N {GLO}| market for | Alloc Rec, U</t>
  </si>
  <si>
    <t>Phosphate fertiliser, as P2O5 {GLO}| market for | Alloc Rec, U</t>
  </si>
  <si>
    <t>NPK</t>
  </si>
  <si>
    <t>EQUIVALENT BIOSTIMULANT (1 ha)</t>
  </si>
  <si>
    <t>Volume (L)</t>
  </si>
  <si>
    <t>L/L</t>
  </si>
  <si>
    <r>
      <t>tkm/m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</t>
    </r>
  </si>
  <si>
    <t>Steel</t>
  </si>
  <si>
    <t>TFM Rubén</t>
  </si>
  <si>
    <r>
      <t>kg/m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</si>
  <si>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O</t>
    </r>
    <r>
      <rPr>
        <vertAlign val="subscript"/>
        <sz val="11"/>
        <color theme="1"/>
        <rFont val="Calibri"/>
        <family val="2"/>
        <scheme val="minor"/>
      </rPr>
      <t>2</t>
    </r>
  </si>
  <si>
    <r>
      <t>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</si>
  <si>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t>FLUE GAS COMPOSITION (FROM NATURAL GAS)</t>
  </si>
  <si>
    <r>
      <t>Required CO</t>
    </r>
    <r>
      <rPr>
        <vertAlign val="subscript"/>
        <sz val="11"/>
        <color theme="1"/>
        <rFont val="Calibri"/>
        <family val="2"/>
        <scheme val="minor"/>
      </rPr>
      <t>2</t>
    </r>
  </si>
  <si>
    <t>Flujo evitado en el thin layer</t>
  </si>
  <si>
    <t>Ratio</t>
  </si>
  <si>
    <t>1 ha</t>
  </si>
  <si>
    <t>Truck</t>
  </si>
  <si>
    <t>Balance total proceso</t>
  </si>
  <si>
    <t>units/d</t>
  </si>
  <si>
    <t>tkm</t>
  </si>
  <si>
    <t>TRANSPORT IRRIGATION WATER (10 T TRUCK)</t>
  </si>
  <si>
    <t>TRANSPORT SLURRY (10 T TRUCK)</t>
  </si>
  <si>
    <t>Transport, freight, lorry 7.5-16 metric ton, EURO6 {GLO}| market for | Alloc Rec, U</t>
  </si>
  <si>
    <t>Transporte de purín a planta (menos de 15 km)</t>
  </si>
  <si>
    <t>REACTOR INFRASTRUCTURE</t>
  </si>
  <si>
    <t>TANKS INFRASTRUCTURE</t>
  </si>
  <si>
    <t>Glass fibre {GLO}| market for | Alloc Rec, U</t>
  </si>
  <si>
    <t>kg/year</t>
  </si>
  <si>
    <t>SimaPro = 1 p</t>
  </si>
  <si>
    <r>
      <t>p/m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biostimulant</t>
    </r>
  </si>
  <si>
    <t>AIR EMISSIONS FACTOR BIOSTIMULANT</t>
  </si>
  <si>
    <t>SOLI EMISSIONS FACTOR BIOSTIMULANT</t>
  </si>
  <si>
    <t>Nitrate</t>
  </si>
  <si>
    <t>TFM María Maté</t>
  </si>
  <si>
    <t>Steel per area</t>
  </si>
  <si>
    <t>Height</t>
  </si>
  <si>
    <t>Diameter</t>
  </si>
  <si>
    <t>Technoeconomical assumption</t>
  </si>
  <si>
    <t>Steel demand</t>
  </si>
  <si>
    <t>REACTOR STRUCTURE</t>
  </si>
  <si>
    <t>Steel, stainless 304, scrap/kg/GLO</t>
  </si>
  <si>
    <t>TANK STRUCTURE</t>
  </si>
  <si>
    <t>Subtitution ammonium nitrate</t>
  </si>
  <si>
    <t>Subtitution diammonium phosphate</t>
  </si>
  <si>
    <t>Fracción líquida</t>
  </si>
  <si>
    <t>Frac. Sólida</t>
  </si>
  <si>
    <t>Centrifuga</t>
  </si>
  <si>
    <t>Centrífuga</t>
  </si>
  <si>
    <t>Cantidad</t>
  </si>
  <si>
    <t>Tanque de almacenamiento</t>
  </si>
  <si>
    <t>LPS 2 Bar</t>
  </si>
  <si>
    <t>Sube de 20ºC a 30ºC (poco tiempo, no hace falta enfriar)</t>
  </si>
  <si>
    <t>Energía mezcla</t>
  </si>
  <si>
    <t>Energía ultrasonidos</t>
  </si>
  <si>
    <t>Energía bombas y centrífuga</t>
  </si>
  <si>
    <t>CONSUMOS BOMBAS</t>
  </si>
  <si>
    <t>2", Do=60,3, Di=38,16, P=0,00954, v=0,4587</t>
  </si>
  <si>
    <t>3", Do=88,9 Di=84,68, P=0,00281, v=0,4075</t>
  </si>
  <si>
    <t>1/4", Do=13,7 Di=10,4 P=0,058, v=0,49</t>
  </si>
  <si>
    <t>Para pasar de kW a kWh/d multiplicar por el tiempo uso h/d</t>
  </si>
  <si>
    <t>NPK 4-12-4</t>
  </si>
  <si>
    <t>https://blogs.worldbank.org/opendata/fertilizer-prices-expected-remain-higher-longer (2022)</t>
  </si>
  <si>
    <t>K (€)</t>
  </si>
  <si>
    <t>FLUJO DE CAJA</t>
  </si>
  <si>
    <t>Caudal entrada (kg/h)</t>
  </si>
  <si>
    <t>Caudal S (kg/h)</t>
  </si>
  <si>
    <t>Caudal L (kg/h)</t>
  </si>
  <si>
    <t>TRANSPORT BIOSTIMULANT (2,5 T TRUCK)</t>
  </si>
  <si>
    <t>Centrifuge</t>
  </si>
  <si>
    <t>HARVESTING WITH CENTRIFUGE</t>
  </si>
  <si>
    <t>Centrifuge energy</t>
  </si>
  <si>
    <t>Menos de 188 km</t>
  </si>
  <si>
    <t>Pechrisi 2023</t>
  </si>
  <si>
    <t>LDPE per area</t>
  </si>
  <si>
    <t>LDPE demand</t>
  </si>
  <si>
    <t>Impact</t>
  </si>
  <si>
    <t>Biostimulant production</t>
  </si>
  <si>
    <t>Final tank</t>
  </si>
  <si>
    <t>Carcinogens</t>
  </si>
  <si>
    <r>
      <t>kg C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Cl eq</t>
    </r>
  </si>
  <si>
    <t>Non-carcinogens</t>
  </si>
  <si>
    <t>Respiratory inorganics</t>
  </si>
  <si>
    <t>kg PM2.5 eq</t>
  </si>
  <si>
    <t>Ionizing radiation</t>
  </si>
  <si>
    <t>Bq C-14 eq</t>
  </si>
  <si>
    <t>Ozone layer depletion</t>
  </si>
  <si>
    <t>kg CFC-11 eq</t>
  </si>
  <si>
    <t>Respiratory organics</t>
  </si>
  <si>
    <r>
      <t>kg C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eq</t>
    </r>
  </si>
  <si>
    <t>Aquatic ecotoxicity</t>
  </si>
  <si>
    <t>kg TEG water</t>
  </si>
  <si>
    <t>Terrestrial ecotoxicity</t>
  </si>
  <si>
    <t>kg TEG soil</t>
  </si>
  <si>
    <t>Terrestrial acid/nutri</t>
  </si>
  <si>
    <r>
      <t>kg SO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eq</t>
    </r>
  </si>
  <si>
    <t>Land occupation</t>
  </si>
  <si>
    <t>m2org.arable</t>
  </si>
  <si>
    <t>Aquatic acidification</t>
  </si>
  <si>
    <t>Aquatic eutrophication</t>
  </si>
  <si>
    <r>
      <t>kg PO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P-lim</t>
    </r>
  </si>
  <si>
    <t>Global warming</t>
  </si>
  <si>
    <r>
      <t>kg CO</t>
    </r>
    <r>
      <rPr>
        <b/>
        <vertAlign val="subscript"/>
        <sz val="11"/>
        <color rgb="FFFF0000"/>
        <rFont val="Calibri"/>
        <family val="2"/>
        <scheme val="minor"/>
      </rPr>
      <t>2</t>
    </r>
    <r>
      <rPr>
        <b/>
        <sz val="11"/>
        <color rgb="FFFF0000"/>
        <rFont val="Calibri"/>
        <family val="2"/>
        <scheme val="minor"/>
      </rPr>
      <t xml:space="preserve"> eq</t>
    </r>
  </si>
  <si>
    <t>Non-renewable energy</t>
  </si>
  <si>
    <t>MJ primary</t>
  </si>
  <si>
    <t>Mineral extraction</t>
  </si>
  <si>
    <t>MJ surplus</t>
  </si>
  <si>
    <t>Biomass pretreatment</t>
  </si>
  <si>
    <t>Enzyme</t>
  </si>
  <si>
    <t>Steam</t>
  </si>
  <si>
    <t>Electricity</t>
  </si>
  <si>
    <t>Transport</t>
  </si>
  <si>
    <t>Biomass harvesting</t>
  </si>
  <si>
    <t>Biomass cultivation</t>
  </si>
  <si>
    <t>Pig manure (transport)</t>
  </si>
  <si>
    <r>
      <t>CO</t>
    </r>
    <r>
      <rPr>
        <vertAlign val="subscript"/>
        <sz val="11"/>
        <color theme="0"/>
        <rFont val="Calibri"/>
        <family val="2"/>
        <scheme val="minor"/>
      </rPr>
      <t>2</t>
    </r>
  </si>
  <si>
    <t>Thin-layer</t>
  </si>
  <si>
    <t>Human health</t>
  </si>
  <si>
    <t>DALY</t>
  </si>
  <si>
    <t>Ecosystem quality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</si>
  <si>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·year</t>
    </r>
  </si>
  <si>
    <t>Climate change</t>
  </si>
  <si>
    <t>Resources</t>
  </si>
  <si>
    <t>Fibra vidrio</t>
  </si>
  <si>
    <t>Total real</t>
  </si>
  <si>
    <t>Cultivation</t>
  </si>
  <si>
    <t>Contribution (%)</t>
  </si>
  <si>
    <t>m3/year</t>
  </si>
  <si>
    <t>Carbon dioxide</t>
  </si>
  <si>
    <t>Behera 2021</t>
  </si>
  <si>
    <t>Worst</t>
  </si>
  <si>
    <t>Necesidad para 1 ha</t>
  </si>
  <si>
    <t>Transporte de estimulante al campo (coger 100 km) - En Delivery</t>
  </si>
  <si>
    <t>TRANSPORT (100 km)</t>
  </si>
  <si>
    <t>tkm/ha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</si>
  <si>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/ha</t>
    </r>
  </si>
  <si>
    <t>Biostimulant (2,5 T)</t>
  </si>
  <si>
    <t>Transport, freight, lorry 3.5-7.5 metric ton, EURO6 {GLO}| market for | Alloc Rec, U</t>
  </si>
  <si>
    <t>WITH TRANSPORT (FU = 1 HA)</t>
  </si>
  <si>
    <r>
      <t>PRODUCTION (FU = 1 M</t>
    </r>
    <r>
      <rPr>
        <b/>
        <vertAlign val="superscript"/>
        <sz val="11"/>
        <color rgb="FFFF0000"/>
        <rFont val="Calibri"/>
        <family val="2"/>
        <scheme val="minor"/>
      </rPr>
      <t>3</t>
    </r>
    <r>
      <rPr>
        <b/>
        <sz val="11"/>
        <color rgb="FFFF0000"/>
        <rFont val="Calibri"/>
        <family val="2"/>
        <scheme val="minor"/>
      </rPr>
      <t>)</t>
    </r>
  </si>
  <si>
    <t>PRODUCTION</t>
  </si>
  <si>
    <r>
      <t>Impact (FU = 1m</t>
    </r>
    <r>
      <rPr>
        <vertAlign val="superscript"/>
        <sz val="11"/>
        <color theme="0"/>
        <rFont val="Calibri"/>
        <family val="2"/>
        <scheme val="minor"/>
      </rPr>
      <t>3</t>
    </r>
    <r>
      <rPr>
        <sz val="11"/>
        <color theme="0"/>
        <rFont val="Calibri"/>
        <family val="2"/>
        <scheme val="minor"/>
      </rPr>
      <t>)</t>
    </r>
  </si>
  <si>
    <t>DELIVERY</t>
  </si>
  <si>
    <t>Impact (FU = 1 ha)</t>
  </si>
  <si>
    <t>Biostimulant delivery</t>
  </si>
  <si>
    <t>Biostimulant delivery (SimaPro) - UF = 1 ha of crops</t>
  </si>
  <si>
    <r>
      <t>Biostimulant production (SimaPro) - UF = 1 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biostimulant</t>
    </r>
  </si>
  <si>
    <t>Biomass pretreatment (SimaPro)</t>
  </si>
  <si>
    <t>Biomass harvesting (SimaPro)</t>
  </si>
  <si>
    <t>Biomass cultivation (SimaPro)</t>
  </si>
  <si>
    <r>
      <t>Biostimulant production (Flue gas - MEA) - UF = 1 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biostimulant</t>
    </r>
  </si>
  <si>
    <t>Biostimulant aplication (Flue gas - MEA) - UF = 1 ha of crops</t>
  </si>
  <si>
    <t>Biomass pretreatment (Flue gas - MEA)</t>
  </si>
  <si>
    <t>Biomass harvesting (Flue gas - MEA)</t>
  </si>
  <si>
    <t>Biomass cultivation (Flue gas - MEA)</t>
  </si>
  <si>
    <t>Biostimulant aplication (Biogas - MEA) - UF = 1 ha of crops</t>
  </si>
  <si>
    <r>
      <t>Biostimulant production (Biogas - MEA) - UF = 1 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biostimulant</t>
    </r>
  </si>
  <si>
    <t>Biomass pretreatment (Biogas - MEA)</t>
  </si>
  <si>
    <t>Biomass harvesting (Biogas - MEA)</t>
  </si>
  <si>
    <t>Biomass cultivation (Biogas - MEA)</t>
  </si>
  <si>
    <t>Flue gas - MEA</t>
  </si>
  <si>
    <t>Biogas - MEA</t>
  </si>
  <si>
    <t>SimaPro</t>
  </si>
  <si>
    <t>Biogas MEA</t>
  </si>
  <si>
    <t>Flue MEA</t>
  </si>
  <si>
    <t>Hossaini</t>
  </si>
  <si>
    <t>Florio</t>
  </si>
  <si>
    <t>Khojasteh</t>
  </si>
  <si>
    <t>Flue gas - membrane</t>
  </si>
  <si>
    <t>Biogas - membrane</t>
  </si>
  <si>
    <t>Biostimulant aplication (Flue gas - membrane) - UF = 1 ha of crops</t>
  </si>
  <si>
    <r>
      <t>Biostimulant production (Flue gas - membrane) - UF = 1 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biostimulant</t>
    </r>
  </si>
  <si>
    <t>Biomass pretreatment (Flue gas - membrane)</t>
  </si>
  <si>
    <t>Biomass harvesting (Flue gas - membrane)</t>
  </si>
  <si>
    <t>Biomass cultivation (Flue gas - membrane)</t>
  </si>
  <si>
    <t>Biostimulant aplication (Biogas - membrane) - UF = 1 ha of crops</t>
  </si>
  <si>
    <r>
      <t>Biostimulant production (Biogas - membrane) - UF = 1 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biostimulant</t>
    </r>
  </si>
  <si>
    <t>Biomass pretreatment (Biogas - membrane)</t>
  </si>
  <si>
    <t>Biomass harvesting (Biogas - membrane)</t>
  </si>
  <si>
    <t>Biomass cultivation (Biogas - membrane)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</si>
</sst>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"/>
    <numFmt numFmtId="165" formatCode="#,##0.00\ &quot;€&quot;"/>
    <numFmt numFmtId="166" formatCode="0.000"/>
    <numFmt numFmtId="167" formatCode="0.0000"/>
    <numFmt numFmtId="168" formatCode="0.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vertAlign val="superscript"/>
      <sz val="11"/>
      <color theme="3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vertAlign val="sub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11"/>
      <color rgb="FFFF0000"/>
      <name val="Calibri"/>
      <family val="2"/>
      <scheme val="minor"/>
    </font>
    <font>
      <b/>
      <vertAlign val="subscript"/>
      <sz val="11"/>
      <color rgb="FFFF0000"/>
      <name val="Calibri"/>
      <family val="2"/>
      <scheme val="minor"/>
    </font>
    <font>
      <vertAlign val="subscript"/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vertAlign val="superscript"/>
      <sz val="11"/>
      <color theme="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7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1" fillId="3" borderId="2" applyNumberFormat="0" applyFont="0" applyAlignment="0" applyProtection="0"/>
    <xf numFmtId="0" fontId="6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6" borderId="0" applyNumberFormat="0" applyBorder="0" applyAlignment="0" applyProtection="0"/>
    <xf numFmtId="0" fontId="1" fillId="7" borderId="0" applyNumberFormat="0" applyBorder="0" applyAlignment="0" applyProtection="0"/>
    <xf numFmtId="0" fontId="8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8" fillId="15" borderId="0" applyNumberFormat="0" applyBorder="0" applyAlignment="0" applyProtection="0"/>
    <xf numFmtId="0" fontId="1" fillId="16" borderId="0" applyNumberFormat="0" applyBorder="0" applyAlignment="0" applyProtection="0"/>
    <xf numFmtId="0" fontId="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20" borderId="0" applyNumberFormat="0" applyBorder="0" applyAlignment="0" applyProtection="0"/>
    <xf numFmtId="0" fontId="27" fillId="22" borderId="0" applyNumberFormat="0" applyBorder="0" applyAlignment="0" applyProtection="0"/>
  </cellStyleXfs>
  <cellXfs count="290">
    <xf numFmtId="0" fontId="0" fillId="0" borderId="0" xfId="0"/>
    <xf numFmtId="0" fontId="5" fillId="0" borderId="0" xfId="4"/>
    <xf numFmtId="0" fontId="1" fillId="13" borderId="3" xfId="16" applyBorder="1" applyAlignment="1">
      <alignment horizontal="center"/>
    </xf>
    <xf numFmtId="0" fontId="0" fillId="0" borderId="3" xfId="0" applyBorder="1" applyAlignment="1">
      <alignment horizontal="center"/>
    </xf>
    <xf numFmtId="2" fontId="5" fillId="0" borderId="0" xfId="0" applyNumberFormat="1" applyFont="1"/>
    <xf numFmtId="2" fontId="0" fillId="0" borderId="0" xfId="0" applyNumberFormat="1"/>
    <xf numFmtId="0" fontId="0" fillId="0" borderId="0" xfId="0" applyAlignment="1">
      <alignment horizontal="center"/>
    </xf>
    <xf numFmtId="0" fontId="8" fillId="4" borderId="3" xfId="7" applyBorder="1" applyAlignment="1">
      <alignment horizontal="center"/>
    </xf>
    <xf numFmtId="0" fontId="1" fillId="5" borderId="3" xfId="8" applyBorder="1" applyAlignment="1">
      <alignment horizontal="center"/>
    </xf>
    <xf numFmtId="0" fontId="0" fillId="5" borderId="3" xfId="8" applyFont="1" applyBorder="1" applyAlignment="1">
      <alignment horizontal="center"/>
    </xf>
    <xf numFmtId="0" fontId="1" fillId="5" borderId="3" xfId="8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9" borderId="3" xfId="12" applyFont="1" applyBorder="1" applyAlignment="1">
      <alignment horizontal="center" vertical="center"/>
    </xf>
    <xf numFmtId="2" fontId="3" fillId="2" borderId="3" xfId="3" applyNumberFormat="1" applyBorder="1" applyAlignment="1">
      <alignment horizontal="center" vertical="center"/>
    </xf>
    <xf numFmtId="2" fontId="1" fillId="9" borderId="3" xfId="12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" fillId="9" borderId="3" xfId="12" applyBorder="1" applyAlignment="1">
      <alignment horizontal="center" vertical="center"/>
    </xf>
    <xf numFmtId="2" fontId="10" fillId="9" borderId="3" xfId="12" applyNumberFormat="1" applyFont="1" applyBorder="1" applyAlignment="1">
      <alignment horizontal="center" vertical="center"/>
    </xf>
    <xf numFmtId="2" fontId="10" fillId="3" borderId="3" xfId="5" applyNumberFormat="1" applyFont="1" applyBorder="1" applyAlignment="1">
      <alignment horizontal="center" vertical="center"/>
    </xf>
    <xf numFmtId="2" fontId="0" fillId="0" borderId="3" xfId="0" applyNumberFormat="1" applyBorder="1" applyAlignment="1">
      <alignment horizontal="center"/>
    </xf>
    <xf numFmtId="0" fontId="10" fillId="3" borderId="3" xfId="5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/>
    </xf>
    <xf numFmtId="0" fontId="10" fillId="3" borderId="4" xfId="5" applyFont="1" applyBorder="1" applyAlignment="1">
      <alignment horizontal="center" vertical="center"/>
    </xf>
    <xf numFmtId="0" fontId="0" fillId="5" borderId="3" xfId="8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1" fillId="18" borderId="3" xfId="21" applyBorder="1" applyAlignment="1">
      <alignment horizontal="center"/>
    </xf>
    <xf numFmtId="0" fontId="6" fillId="0" borderId="0" xfId="6" applyNumberFormat="1" applyAlignment="1">
      <alignment horizontal="left"/>
    </xf>
    <xf numFmtId="0" fontId="1" fillId="16" borderId="3" xfId="19" applyBorder="1" applyAlignment="1">
      <alignment horizontal="center"/>
    </xf>
    <xf numFmtId="0" fontId="1" fillId="16" borderId="3" xfId="19" applyBorder="1" applyAlignment="1">
      <alignment horizontal="center" vertical="center"/>
    </xf>
    <xf numFmtId="0" fontId="8" fillId="6" borderId="3" xfId="9" applyBorder="1" applyAlignment="1">
      <alignment horizontal="center" vertical="center"/>
    </xf>
    <xf numFmtId="0" fontId="1" fillId="19" borderId="3" xfId="22" applyBorder="1" applyAlignment="1">
      <alignment horizontal="center"/>
    </xf>
    <xf numFmtId="44" fontId="0" fillId="0" borderId="3" xfId="0" applyNumberFormat="1" applyBorder="1" applyAlignment="1">
      <alignment horizontal="center"/>
    </xf>
    <xf numFmtId="0" fontId="0" fillId="0" borderId="3" xfId="0" applyBorder="1"/>
    <xf numFmtId="9" fontId="0" fillId="0" borderId="3" xfId="1" applyFont="1" applyBorder="1" applyAlignment="1">
      <alignment horizontal="center"/>
    </xf>
    <xf numFmtId="0" fontId="1" fillId="7" borderId="3" xfId="10" applyBorder="1" applyAlignment="1">
      <alignment horizontal="center"/>
    </xf>
    <xf numFmtId="44" fontId="0" fillId="0" borderId="0" xfId="0" applyNumberFormat="1"/>
    <xf numFmtId="0" fontId="10" fillId="0" borderId="3" xfId="0" applyFont="1" applyBorder="1"/>
    <xf numFmtId="0" fontId="8" fillId="6" borderId="3" xfId="9" applyBorder="1" applyAlignment="1">
      <alignment horizontal="center"/>
    </xf>
    <xf numFmtId="164" fontId="0" fillId="0" borderId="3" xfId="0" applyNumberFormat="1" applyBorder="1" applyAlignment="1">
      <alignment horizontal="center"/>
    </xf>
    <xf numFmtId="44" fontId="0" fillId="0" borderId="8" xfId="0" applyNumberFormat="1" applyBorder="1" applyAlignment="1">
      <alignment horizontal="center"/>
    </xf>
    <xf numFmtId="44" fontId="7" fillId="0" borderId="9" xfId="0" applyNumberFormat="1" applyFont="1" applyBorder="1"/>
    <xf numFmtId="9" fontId="7" fillId="0" borderId="10" xfId="1" applyFont="1" applyFill="1" applyBorder="1" applyAlignment="1">
      <alignment horizontal="center"/>
    </xf>
    <xf numFmtId="44" fontId="0" fillId="0" borderId="3" xfId="0" applyNumberFormat="1" applyBorder="1"/>
    <xf numFmtId="0" fontId="3" fillId="2" borderId="3" xfId="3" applyBorder="1" applyAlignment="1">
      <alignment horizontal="center"/>
    </xf>
    <xf numFmtId="0" fontId="1" fillId="10" borderId="3" xfId="13" applyBorder="1"/>
    <xf numFmtId="0" fontId="0" fillId="10" borderId="3" xfId="13" applyFont="1" applyBorder="1"/>
    <xf numFmtId="0" fontId="6" fillId="0" borderId="0" xfId="6"/>
    <xf numFmtId="0" fontId="1" fillId="10" borderId="3" xfId="13" applyBorder="1" applyAlignment="1">
      <alignment horizontal="center"/>
    </xf>
    <xf numFmtId="44" fontId="0" fillId="0" borderId="8" xfId="0" applyNumberFormat="1" applyBorder="1"/>
    <xf numFmtId="9" fontId="0" fillId="0" borderId="8" xfId="1" applyFont="1" applyBorder="1" applyAlignment="1">
      <alignment horizontal="center"/>
    </xf>
    <xf numFmtId="9" fontId="7" fillId="0" borderId="10" xfId="1" applyFont="1" applyBorder="1" applyAlignment="1">
      <alignment horizontal="center"/>
    </xf>
    <xf numFmtId="0" fontId="1" fillId="19" borderId="8" xfId="22" applyBorder="1" applyAlignment="1">
      <alignment horizontal="center"/>
    </xf>
    <xf numFmtId="0" fontId="1" fillId="19" borderId="13" xfId="22" applyBorder="1" applyAlignment="1">
      <alignment horizontal="center"/>
    </xf>
    <xf numFmtId="2" fontId="0" fillId="0" borderId="16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1" fillId="10" borderId="12" xfId="13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7" borderId="12" xfId="10" applyBorder="1" applyAlignment="1">
      <alignment horizontal="center"/>
    </xf>
    <xf numFmtId="44" fontId="0" fillId="0" borderId="12" xfId="0" applyNumberFormat="1" applyBorder="1" applyAlignment="1">
      <alignment horizontal="center"/>
    </xf>
    <xf numFmtId="9" fontId="0" fillId="0" borderId="3" xfId="1" applyFont="1" applyBorder="1"/>
    <xf numFmtId="9" fontId="0" fillId="0" borderId="3" xfId="0" applyNumberFormat="1" applyBorder="1" applyAlignment="1">
      <alignment horizontal="center"/>
    </xf>
    <xf numFmtId="0" fontId="1" fillId="10" borderId="3" xfId="13" applyBorder="1" applyAlignment="1">
      <alignment horizontal="center" vertical="center"/>
    </xf>
    <xf numFmtId="2" fontId="0" fillId="0" borderId="3" xfId="0" applyNumberFormat="1" applyBorder="1"/>
    <xf numFmtId="0" fontId="0" fillId="13" borderId="3" xfId="16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8" xfId="0" applyBorder="1"/>
    <xf numFmtId="0" fontId="7" fillId="0" borderId="9" xfId="0" applyFont="1" applyBorder="1" applyAlignment="1">
      <alignment horizontal="right"/>
    </xf>
    <xf numFmtId="44" fontId="7" fillId="0" borderId="17" xfId="0" applyNumberFormat="1" applyFont="1" applyBorder="1"/>
    <xf numFmtId="0" fontId="1" fillId="19" borderId="12" xfId="22" applyBorder="1" applyAlignment="1">
      <alignment horizontal="center"/>
    </xf>
    <xf numFmtId="44" fontId="0" fillId="0" borderId="0" xfId="0" applyNumberFormat="1" applyAlignment="1">
      <alignment horizontal="center"/>
    </xf>
    <xf numFmtId="0" fontId="0" fillId="13" borderId="8" xfId="16" applyFont="1" applyBorder="1" applyAlignment="1">
      <alignment horizontal="center" vertical="center"/>
    </xf>
    <xf numFmtId="44" fontId="7" fillId="0" borderId="17" xfId="0" applyNumberFormat="1" applyFont="1" applyBorder="1" applyAlignment="1">
      <alignment horizontal="center"/>
    </xf>
    <xf numFmtId="0" fontId="0" fillId="13" borderId="12" xfId="16" applyFont="1" applyBorder="1" applyAlignment="1">
      <alignment horizontal="center" vertical="center"/>
    </xf>
    <xf numFmtId="44" fontId="7" fillId="0" borderId="9" xfId="0" applyNumberFormat="1" applyFont="1" applyBorder="1" applyAlignment="1">
      <alignment horizontal="center"/>
    </xf>
    <xf numFmtId="0" fontId="4" fillId="17" borderId="18" xfId="20" applyFont="1" applyBorder="1"/>
    <xf numFmtId="44" fontId="12" fillId="0" borderId="19" xfId="0" applyNumberFormat="1" applyFont="1" applyBorder="1"/>
    <xf numFmtId="0" fontId="4" fillId="17" borderId="20" xfId="20" applyFont="1" applyBorder="1"/>
    <xf numFmtId="44" fontId="12" fillId="0" borderId="21" xfId="0" applyNumberFormat="1" applyFont="1" applyBorder="1"/>
    <xf numFmtId="0" fontId="4" fillId="17" borderId="22" xfId="20" applyFont="1" applyBorder="1"/>
    <xf numFmtId="44" fontId="12" fillId="0" borderId="23" xfId="0" applyNumberFormat="1" applyFont="1" applyBorder="1"/>
    <xf numFmtId="0" fontId="2" fillId="0" borderId="0" xfId="2" applyFill="1" applyBorder="1" applyAlignment="1"/>
    <xf numFmtId="0" fontId="6" fillId="0" borderId="0" xfId="6" applyAlignment="1">
      <alignment horizontal="right"/>
    </xf>
    <xf numFmtId="0" fontId="0" fillId="0" borderId="0" xfId="0" applyAlignment="1">
      <alignment horizontal="center" vertical="center"/>
    </xf>
    <xf numFmtId="0" fontId="8" fillId="15" borderId="18" xfId="18" applyBorder="1" applyAlignment="1">
      <alignment horizontal="center" vertical="center"/>
    </xf>
    <xf numFmtId="0" fontId="8" fillId="4" borderId="19" xfId="7" applyBorder="1" applyAlignment="1">
      <alignment horizontal="center" vertical="center"/>
    </xf>
    <xf numFmtId="0" fontId="14" fillId="0" borderId="0" xfId="23"/>
    <xf numFmtId="0" fontId="1" fillId="5" borderId="24" xfId="8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2" fontId="0" fillId="0" borderId="20" xfId="0" applyNumberFormat="1" applyBorder="1" applyAlignment="1">
      <alignment horizontal="center"/>
    </xf>
    <xf numFmtId="0" fontId="1" fillId="5" borderId="25" xfId="8" applyBorder="1" applyAlignment="1">
      <alignment horizontal="center" vertical="center"/>
    </xf>
    <xf numFmtId="0" fontId="0" fillId="5" borderId="25" xfId="8" applyFont="1" applyBorder="1" applyAlignment="1">
      <alignment horizontal="center" vertical="center"/>
    </xf>
    <xf numFmtId="2" fontId="7" fillId="9" borderId="20" xfId="12" applyNumberFormat="1" applyFont="1" applyBorder="1" applyAlignment="1">
      <alignment horizontal="center" vertical="center"/>
    </xf>
    <xf numFmtId="0" fontId="7" fillId="9" borderId="21" xfId="12" applyFont="1" applyBorder="1" applyAlignment="1">
      <alignment horizontal="center" vertical="center"/>
    </xf>
    <xf numFmtId="0" fontId="4" fillId="6" borderId="26" xfId="9" applyFont="1" applyBorder="1" applyAlignment="1">
      <alignment horizontal="center"/>
    </xf>
    <xf numFmtId="44" fontId="7" fillId="0" borderId="27" xfId="0" applyNumberFormat="1" applyFont="1" applyBorder="1"/>
    <xf numFmtId="0" fontId="7" fillId="0" borderId="19" xfId="0" applyFont="1" applyBorder="1" applyAlignment="1">
      <alignment horizontal="center"/>
    </xf>
    <xf numFmtId="2" fontId="0" fillId="0" borderId="21" xfId="0" applyNumberFormat="1" applyBorder="1" applyAlignment="1">
      <alignment horizontal="center" vertical="center"/>
    </xf>
    <xf numFmtId="0" fontId="4" fillId="6" borderId="28" xfId="9" applyFont="1" applyBorder="1" applyAlignment="1">
      <alignment horizontal="center"/>
    </xf>
    <xf numFmtId="44" fontId="7" fillId="0" borderId="16" xfId="0" applyNumberFormat="1" applyFont="1" applyBorder="1"/>
    <xf numFmtId="0" fontId="7" fillId="0" borderId="29" xfId="0" applyFont="1" applyBorder="1" applyAlignment="1">
      <alignment horizontal="center"/>
    </xf>
    <xf numFmtId="166" fontId="0" fillId="0" borderId="20" xfId="0" applyNumberFormat="1" applyBorder="1" applyAlignment="1">
      <alignment horizontal="center" vertical="center"/>
    </xf>
    <xf numFmtId="166" fontId="0" fillId="0" borderId="21" xfId="0" applyNumberFormat="1" applyBorder="1" applyAlignment="1">
      <alignment horizontal="center" vertical="center"/>
    </xf>
    <xf numFmtId="166" fontId="0" fillId="0" borderId="30" xfId="0" applyNumberFormat="1" applyBorder="1" applyAlignment="1">
      <alignment horizontal="center" vertical="center"/>
    </xf>
    <xf numFmtId="0" fontId="1" fillId="7" borderId="3" xfId="10" applyBorder="1"/>
    <xf numFmtId="0" fontId="0" fillId="5" borderId="31" xfId="8" applyFont="1" applyBorder="1" applyAlignment="1">
      <alignment horizontal="center" vertical="center"/>
    </xf>
    <xf numFmtId="2" fontId="7" fillId="9" borderId="28" xfId="12" applyNumberFormat="1" applyFont="1" applyBorder="1" applyAlignment="1">
      <alignment horizontal="center" vertical="center"/>
    </xf>
    <xf numFmtId="2" fontId="7" fillId="9" borderId="29" xfId="12" applyNumberFormat="1" applyFont="1" applyBorder="1" applyAlignment="1">
      <alignment horizontal="center" vertical="center"/>
    </xf>
    <xf numFmtId="0" fontId="7" fillId="9" borderId="29" xfId="12" applyFont="1" applyBorder="1" applyAlignment="1">
      <alignment horizontal="center" vertical="center"/>
    </xf>
    <xf numFmtId="0" fontId="4" fillId="6" borderId="9" xfId="9" applyFont="1" applyBorder="1" applyAlignment="1">
      <alignment horizontal="center"/>
    </xf>
    <xf numFmtId="44" fontId="7" fillId="0" borderId="10" xfId="0" applyNumberFormat="1" applyFont="1" applyBorder="1"/>
    <xf numFmtId="8" fontId="0" fillId="0" borderId="0" xfId="0" applyNumberFormat="1"/>
    <xf numFmtId="165" fontId="0" fillId="0" borderId="3" xfId="0" applyNumberForma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18" borderId="3" xfId="21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" fillId="20" borderId="3" xfId="25" applyBorder="1" applyAlignment="1">
      <alignment horizontal="center"/>
    </xf>
    <xf numFmtId="0" fontId="8" fillId="4" borderId="3" xfId="7" applyBorder="1" applyAlignment="1">
      <alignment horizontal="center" vertical="center"/>
    </xf>
    <xf numFmtId="0" fontId="8" fillId="17" borderId="3" xfId="20" applyBorder="1" applyAlignment="1">
      <alignment horizontal="center" vertical="center"/>
    </xf>
    <xf numFmtId="0" fontId="1" fillId="18" borderId="3" xfId="21" applyBorder="1" applyAlignment="1">
      <alignment horizontal="center" vertical="center"/>
    </xf>
    <xf numFmtId="0" fontId="0" fillId="18" borderId="3" xfId="21" applyFont="1" applyBorder="1" applyAlignment="1">
      <alignment horizontal="center" vertical="center"/>
    </xf>
    <xf numFmtId="0" fontId="8" fillId="8" borderId="3" xfId="11" applyBorder="1" applyAlignment="1">
      <alignment horizontal="center" vertical="center"/>
    </xf>
    <xf numFmtId="0" fontId="8" fillId="12" borderId="3" xfId="15" applyBorder="1" applyAlignment="1">
      <alignment horizontal="center" vertical="center"/>
    </xf>
    <xf numFmtId="0" fontId="1" fillId="13" borderId="3" xfId="16" applyBorder="1" applyAlignment="1">
      <alignment horizontal="center" vertical="center"/>
    </xf>
    <xf numFmtId="0" fontId="0" fillId="0" borderId="0" xfId="0" applyAlignment="1">
      <alignment vertical="center"/>
    </xf>
    <xf numFmtId="0" fontId="8" fillId="4" borderId="8" xfId="7" applyBorder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7" fontId="0" fillId="0" borderId="0" xfId="0" applyNumberFormat="1"/>
    <xf numFmtId="0" fontId="0" fillId="20" borderId="3" xfId="25" applyFont="1" applyBorder="1" applyAlignment="1">
      <alignment horizontal="center" vertical="center"/>
    </xf>
    <xf numFmtId="0" fontId="8" fillId="15" borderId="3" xfId="18" applyBorder="1" applyAlignment="1">
      <alignment horizontal="center" vertical="center"/>
    </xf>
    <xf numFmtId="167" fontId="0" fillId="0" borderId="3" xfId="0" applyNumberFormat="1" applyBorder="1" applyAlignment="1">
      <alignment horizontal="center" vertical="center"/>
    </xf>
    <xf numFmtId="0" fontId="7" fillId="18" borderId="3" xfId="21" applyFont="1" applyBorder="1" applyAlignment="1">
      <alignment horizontal="center" vertical="center"/>
    </xf>
    <xf numFmtId="0" fontId="7" fillId="16" borderId="3" xfId="19" applyFont="1" applyBorder="1" applyAlignment="1">
      <alignment horizontal="center" vertical="center"/>
    </xf>
    <xf numFmtId="0" fontId="0" fillId="20" borderId="3" xfId="25" applyFont="1" applyBorder="1" applyAlignment="1">
      <alignment horizontal="center"/>
    </xf>
    <xf numFmtId="0" fontId="19" fillId="0" borderId="0" xfId="0" applyFont="1"/>
    <xf numFmtId="0" fontId="5" fillId="0" borderId="0" xfId="0" applyFont="1" applyAlignment="1">
      <alignment horizontal="right"/>
    </xf>
    <xf numFmtId="167" fontId="10" fillId="0" borderId="3" xfId="0" applyNumberFormat="1" applyFont="1" applyBorder="1" applyAlignment="1">
      <alignment horizontal="center" vertical="center"/>
    </xf>
    <xf numFmtId="0" fontId="0" fillId="0" borderId="37" xfId="0" applyBorder="1"/>
    <xf numFmtId="0" fontId="10" fillId="18" borderId="3" xfId="21" applyFont="1" applyBorder="1" applyAlignment="1">
      <alignment horizontal="center" vertical="center"/>
    </xf>
    <xf numFmtId="167" fontId="19" fillId="0" borderId="3" xfId="0" applyNumberFormat="1" applyFont="1" applyBorder="1" applyAlignment="1">
      <alignment horizontal="center" vertical="center"/>
    </xf>
    <xf numFmtId="0" fontId="1" fillId="20" borderId="3" xfId="25" applyBorder="1" applyAlignment="1">
      <alignment horizontal="center" vertical="center"/>
    </xf>
    <xf numFmtId="0" fontId="14" fillId="0" borderId="0" xfId="23" applyBorder="1" applyAlignment="1">
      <alignment horizontal="center" vertical="center"/>
    </xf>
    <xf numFmtId="167" fontId="19" fillId="0" borderId="0" xfId="0" applyNumberFormat="1" applyFont="1" applyAlignment="1">
      <alignment horizontal="center" vertical="center"/>
    </xf>
    <xf numFmtId="0" fontId="0" fillId="0" borderId="37" xfId="0" applyBorder="1" applyAlignment="1">
      <alignment vertical="center"/>
    </xf>
    <xf numFmtId="167" fontId="0" fillId="0" borderId="0" xfId="0" applyNumberFormat="1" applyAlignment="1">
      <alignment horizontal="center" vertical="center"/>
    </xf>
    <xf numFmtId="166" fontId="0" fillId="0" borderId="0" xfId="0" applyNumberFormat="1"/>
    <xf numFmtId="0" fontId="5" fillId="9" borderId="3" xfId="12" applyFont="1" applyBorder="1" applyAlignment="1">
      <alignment horizontal="center" vertical="center"/>
    </xf>
    <xf numFmtId="2" fontId="5" fillId="9" borderId="3" xfId="12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right"/>
    </xf>
    <xf numFmtId="0" fontId="1" fillId="10" borderId="3" xfId="13" applyBorder="1" applyAlignment="1">
      <alignment horizontal="left"/>
    </xf>
    <xf numFmtId="0" fontId="1" fillId="10" borderId="16" xfId="13" applyBorder="1" applyAlignment="1">
      <alignment horizontal="center"/>
    </xf>
    <xf numFmtId="0" fontId="5" fillId="0" borderId="0" xfId="4" applyAlignment="1">
      <alignment horizontal="center"/>
    </xf>
    <xf numFmtId="0" fontId="0" fillId="21" borderId="3" xfId="0" applyFill="1" applyBorder="1" applyAlignment="1">
      <alignment horizontal="center"/>
    </xf>
    <xf numFmtId="0" fontId="19" fillId="0" borderId="3" xfId="0" applyFont="1" applyBorder="1" applyAlignment="1">
      <alignment horizontal="center" vertical="center"/>
    </xf>
    <xf numFmtId="0" fontId="8" fillId="17" borderId="3" xfId="20" applyBorder="1" applyAlignment="1">
      <alignment horizontal="center" vertical="center" wrapText="1"/>
    </xf>
    <xf numFmtId="167" fontId="0" fillId="0" borderId="3" xfId="0" applyNumberFormat="1" applyBorder="1" applyAlignment="1">
      <alignment horizontal="center"/>
    </xf>
    <xf numFmtId="166" fontId="6" fillId="0" borderId="0" xfId="6" applyNumberFormat="1" applyAlignment="1">
      <alignment horizontal="center"/>
    </xf>
    <xf numFmtId="2" fontId="0" fillId="0" borderId="37" xfId="0" applyNumberFormat="1" applyBorder="1" applyAlignment="1">
      <alignment horizontal="center"/>
    </xf>
    <xf numFmtId="2" fontId="5" fillId="0" borderId="37" xfId="0" applyNumberFormat="1" applyFont="1" applyBorder="1" applyAlignment="1">
      <alignment horizontal="left"/>
    </xf>
    <xf numFmtId="2" fontId="0" fillId="0" borderId="37" xfId="0" applyNumberFormat="1" applyBorder="1" applyAlignment="1">
      <alignment horizontal="center" vertical="center"/>
    </xf>
    <xf numFmtId="0" fontId="5" fillId="0" borderId="37" xfId="0" applyFont="1" applyBorder="1" applyAlignment="1">
      <alignment horizontal="right"/>
    </xf>
    <xf numFmtId="0" fontId="5" fillId="0" borderId="37" xfId="4" applyBorder="1"/>
    <xf numFmtId="0" fontId="6" fillId="0" borderId="37" xfId="6" applyBorder="1"/>
    <xf numFmtId="0" fontId="19" fillId="18" borderId="3" xfId="21" applyFont="1" applyBorder="1" applyAlignment="1">
      <alignment horizontal="center" vertical="center"/>
    </xf>
    <xf numFmtId="0" fontId="27" fillId="22" borderId="3" xfId="26" applyBorder="1" applyAlignment="1">
      <alignment horizontal="center"/>
    </xf>
    <xf numFmtId="0" fontId="1" fillId="18" borderId="3" xfId="21" applyBorder="1" applyAlignment="1">
      <alignment horizontal="center" vertical="center" wrapText="1"/>
    </xf>
    <xf numFmtId="168" fontId="0" fillId="0" borderId="3" xfId="1" applyNumberFormat="1" applyFont="1" applyBorder="1" applyAlignment="1">
      <alignment horizontal="center" vertical="center"/>
    </xf>
    <xf numFmtId="0" fontId="5" fillId="0" borderId="0" xfId="4" applyAlignment="1">
      <alignment horizontal="center" vertical="center"/>
    </xf>
    <xf numFmtId="0" fontId="0" fillId="0" borderId="41" xfId="0" applyBorder="1" applyAlignment="1">
      <alignment vertical="center"/>
    </xf>
    <xf numFmtId="0" fontId="6" fillId="0" borderId="0" xfId="6" applyAlignment="1">
      <alignment horizontal="right" vertical="center"/>
    </xf>
    <xf numFmtId="11" fontId="0" fillId="0" borderId="3" xfId="0" applyNumberFormat="1" applyBorder="1" applyAlignment="1">
      <alignment horizontal="center" vertical="center"/>
    </xf>
    <xf numFmtId="2" fontId="6" fillId="0" borderId="0" xfId="6" applyNumberFormat="1" applyAlignment="1">
      <alignment horizontal="center" vertical="center"/>
    </xf>
    <xf numFmtId="9" fontId="0" fillId="0" borderId="3" xfId="1" applyFont="1" applyBorder="1" applyAlignment="1">
      <alignment horizontal="center" vertical="center"/>
    </xf>
    <xf numFmtId="9" fontId="0" fillId="0" borderId="0" xfId="0" applyNumberFormat="1" applyAlignment="1">
      <alignment vertical="center"/>
    </xf>
    <xf numFmtId="10" fontId="0" fillId="0" borderId="3" xfId="1" applyNumberFormat="1" applyFont="1" applyBorder="1" applyAlignment="1">
      <alignment horizontal="center" vertical="center"/>
    </xf>
    <xf numFmtId="10" fontId="0" fillId="0" borderId="0" xfId="0" applyNumberFormat="1" applyAlignment="1">
      <alignment vertical="center"/>
    </xf>
    <xf numFmtId="168" fontId="0" fillId="0" borderId="0" xfId="0" applyNumberFormat="1" applyAlignment="1">
      <alignment vertical="center"/>
    </xf>
    <xf numFmtId="2" fontId="19" fillId="0" borderId="3" xfId="0" applyNumberFormat="1" applyFont="1" applyBorder="1" applyAlignment="1">
      <alignment horizontal="center" vertical="center"/>
    </xf>
    <xf numFmtId="11" fontId="19" fillId="0" borderId="3" xfId="0" applyNumberFormat="1" applyFont="1" applyBorder="1" applyAlignment="1">
      <alignment horizontal="center" vertical="center"/>
    </xf>
    <xf numFmtId="0" fontId="5" fillId="18" borderId="3" xfId="21" applyFont="1" applyBorder="1" applyAlignment="1">
      <alignment horizontal="center" vertical="center"/>
    </xf>
    <xf numFmtId="9" fontId="5" fillId="0" borderId="3" xfId="1" applyFont="1" applyBorder="1" applyAlignment="1">
      <alignment horizontal="center" vertical="center"/>
    </xf>
    <xf numFmtId="11" fontId="27" fillId="22" borderId="3" xfId="26" applyNumberFormat="1" applyBorder="1" applyAlignment="1">
      <alignment horizontal="center" vertical="center"/>
    </xf>
    <xf numFmtId="0" fontId="0" fillId="0" borderId="42" xfId="0" applyBorder="1" applyAlignment="1">
      <alignment vertical="center"/>
    </xf>
    <xf numFmtId="9" fontId="19" fillId="0" borderId="3" xfId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41" xfId="0" applyFont="1" applyBorder="1" applyAlignment="1">
      <alignment vertical="center"/>
    </xf>
    <xf numFmtId="11" fontId="0" fillId="0" borderId="0" xfId="0" applyNumberFormat="1" applyAlignment="1">
      <alignment vertical="center"/>
    </xf>
    <xf numFmtId="0" fontId="6" fillId="0" borderId="0" xfId="6" applyAlignment="1">
      <alignment horizontal="center" vertical="center"/>
    </xf>
    <xf numFmtId="0" fontId="0" fillId="0" borderId="35" xfId="0" applyBorder="1" applyAlignment="1">
      <alignment vertical="center"/>
    </xf>
    <xf numFmtId="0" fontId="8" fillId="17" borderId="3" xfId="20" applyBorder="1" applyAlignment="1">
      <alignment horizontal="center"/>
    </xf>
    <xf numFmtId="0" fontId="8" fillId="6" borderId="3" xfId="9" applyBorder="1" applyAlignment="1">
      <alignment horizontal="center" vertical="center"/>
    </xf>
    <xf numFmtId="0" fontId="8" fillId="6" borderId="8" xfId="9" applyBorder="1" applyAlignment="1">
      <alignment horizontal="center" vertical="center"/>
    </xf>
    <xf numFmtId="0" fontId="8" fillId="6" borderId="12" xfId="9" applyBorder="1" applyAlignment="1">
      <alignment horizontal="center" vertical="center"/>
    </xf>
    <xf numFmtId="0" fontId="2" fillId="0" borderId="1" xfId="2" applyFill="1" applyAlignment="1">
      <alignment horizontal="center"/>
    </xf>
    <xf numFmtId="0" fontId="8" fillId="17" borderId="3" xfId="20" applyBorder="1" applyAlignment="1">
      <alignment horizontal="left"/>
    </xf>
    <xf numFmtId="0" fontId="1" fillId="10" borderId="8" xfId="13" applyBorder="1" applyAlignment="1">
      <alignment horizontal="center" vertical="center"/>
    </xf>
    <xf numFmtId="0" fontId="1" fillId="10" borderId="14" xfId="13" applyBorder="1" applyAlignment="1">
      <alignment horizontal="center" vertical="center"/>
    </xf>
    <xf numFmtId="0" fontId="1" fillId="10" borderId="15" xfId="13" applyBorder="1" applyAlignment="1">
      <alignment horizontal="center" vertical="center"/>
    </xf>
    <xf numFmtId="0" fontId="1" fillId="14" borderId="5" xfId="17" applyBorder="1" applyAlignment="1">
      <alignment horizontal="center"/>
    </xf>
    <xf numFmtId="0" fontId="1" fillId="14" borderId="11" xfId="17" applyBorder="1" applyAlignment="1">
      <alignment horizontal="center"/>
    </xf>
    <xf numFmtId="0" fontId="1" fillId="14" borderId="6" xfId="17" applyBorder="1" applyAlignment="1">
      <alignment horizontal="center"/>
    </xf>
    <xf numFmtId="0" fontId="8" fillId="8" borderId="3" xfId="11" applyBorder="1" applyAlignment="1">
      <alignment horizontal="center"/>
    </xf>
    <xf numFmtId="0" fontId="1" fillId="10" borderId="12" xfId="13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8" fillId="12" borderId="3" xfId="15" applyBorder="1" applyAlignment="1">
      <alignment horizontal="center"/>
    </xf>
    <xf numFmtId="0" fontId="0" fillId="10" borderId="8" xfId="13" applyFont="1" applyBorder="1" applyAlignment="1">
      <alignment horizontal="center" vertical="center" wrapText="1"/>
    </xf>
    <xf numFmtId="0" fontId="0" fillId="10" borderId="12" xfId="13" applyFont="1" applyBorder="1" applyAlignment="1">
      <alignment horizontal="center" vertical="center" wrapText="1"/>
    </xf>
    <xf numFmtId="44" fontId="0" fillId="0" borderId="3" xfId="0" applyNumberFormat="1" applyBorder="1" applyAlignment="1">
      <alignment horizontal="center"/>
    </xf>
    <xf numFmtId="0" fontId="8" fillId="6" borderId="5" xfId="9" applyBorder="1" applyAlignment="1">
      <alignment horizontal="center"/>
    </xf>
    <xf numFmtId="0" fontId="8" fillId="6" borderId="11" xfId="9" applyBorder="1" applyAlignment="1">
      <alignment horizontal="center"/>
    </xf>
    <xf numFmtId="0" fontId="8" fillId="6" borderId="6" xfId="9" applyBorder="1" applyAlignment="1">
      <alignment horizontal="center"/>
    </xf>
    <xf numFmtId="0" fontId="8" fillId="6" borderId="3" xfId="9" applyBorder="1" applyAlignment="1">
      <alignment horizontal="center"/>
    </xf>
    <xf numFmtId="0" fontId="1" fillId="7" borderId="3" xfId="10" applyBorder="1" applyAlignment="1">
      <alignment horizontal="center" vertical="center"/>
    </xf>
    <xf numFmtId="0" fontId="1" fillId="11" borderId="3" xfId="14" applyBorder="1" applyAlignment="1">
      <alignment horizontal="center"/>
    </xf>
    <xf numFmtId="0" fontId="8" fillId="15" borderId="3" xfId="18" applyBorder="1" applyAlignment="1">
      <alignment horizontal="center"/>
    </xf>
    <xf numFmtId="0" fontId="2" fillId="0" borderId="1" xfId="2" applyAlignment="1">
      <alignment horizontal="center"/>
    </xf>
    <xf numFmtId="0" fontId="1" fillId="19" borderId="3" xfId="22" applyBorder="1" applyAlignment="1">
      <alignment horizontal="center"/>
    </xf>
    <xf numFmtId="0" fontId="8" fillId="17" borderId="5" xfId="20" applyBorder="1" applyAlignment="1">
      <alignment horizontal="center"/>
    </xf>
    <xf numFmtId="0" fontId="8" fillId="17" borderId="11" xfId="20" applyBorder="1" applyAlignment="1">
      <alignment horizontal="center"/>
    </xf>
    <xf numFmtId="0" fontId="8" fillId="17" borderId="6" xfId="20" applyBorder="1" applyAlignment="1">
      <alignment horizontal="center"/>
    </xf>
    <xf numFmtId="0" fontId="1" fillId="5" borderId="3" xfId="8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8" fillId="4" borderId="3" xfId="7" applyBorder="1" applyAlignment="1">
      <alignment horizontal="center" vertical="center"/>
    </xf>
    <xf numFmtId="0" fontId="5" fillId="5" borderId="3" xfId="8" applyFont="1" applyBorder="1" applyAlignment="1">
      <alignment horizontal="center" vertical="center"/>
    </xf>
    <xf numFmtId="0" fontId="1" fillId="20" borderId="8" xfId="25" applyBorder="1" applyAlignment="1">
      <alignment horizontal="center" vertical="center"/>
    </xf>
    <xf numFmtId="0" fontId="1" fillId="20" borderId="12" xfId="25" applyBorder="1" applyAlignment="1">
      <alignment horizontal="center" vertical="center"/>
    </xf>
    <xf numFmtId="0" fontId="10" fillId="0" borderId="5" xfId="23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3" xfId="23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0" borderId="3" xfId="24" applyBorder="1" applyAlignment="1">
      <alignment horizontal="center"/>
    </xf>
    <xf numFmtId="0" fontId="1" fillId="20" borderId="3" xfId="25" applyBorder="1" applyAlignment="1">
      <alignment horizontal="center" vertical="center"/>
    </xf>
    <xf numFmtId="0" fontId="5" fillId="0" borderId="0" xfId="4" applyAlignment="1">
      <alignment horizontal="center"/>
    </xf>
    <xf numFmtId="0" fontId="14" fillId="0" borderId="5" xfId="23" applyBorder="1" applyAlignment="1">
      <alignment horizontal="center"/>
    </xf>
    <xf numFmtId="0" fontId="0" fillId="0" borderId="11" xfId="0" applyBorder="1" applyAlignment="1">
      <alignment horizontal="center"/>
    </xf>
    <xf numFmtId="0" fontId="1" fillId="20" borderId="3" xfId="25" applyBorder="1" applyAlignment="1">
      <alignment horizontal="center" vertical="center" wrapText="1"/>
    </xf>
    <xf numFmtId="0" fontId="14" fillId="0" borderId="3" xfId="23" applyBorder="1" applyAlignment="1">
      <alignment horizontal="center"/>
    </xf>
    <xf numFmtId="0" fontId="14" fillId="0" borderId="32" xfId="23" applyBorder="1" applyAlignment="1">
      <alignment horizontal="center" vertical="center"/>
    </xf>
    <xf numFmtId="0" fontId="14" fillId="0" borderId="7" xfId="23" applyBorder="1" applyAlignment="1">
      <alignment horizontal="center" vertical="center"/>
    </xf>
    <xf numFmtId="0" fontId="14" fillId="0" borderId="33" xfId="23" applyBorder="1" applyAlignment="1">
      <alignment horizontal="center" vertical="center"/>
    </xf>
    <xf numFmtId="0" fontId="14" fillId="0" borderId="34" xfId="23" applyBorder="1" applyAlignment="1">
      <alignment horizontal="center" vertical="center"/>
    </xf>
    <xf numFmtId="0" fontId="14" fillId="0" borderId="35" xfId="23" applyBorder="1" applyAlignment="1">
      <alignment horizontal="center" vertical="center"/>
    </xf>
    <xf numFmtId="0" fontId="14" fillId="0" borderId="36" xfId="23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6" fillId="0" borderId="3" xfId="24" applyBorder="1" applyAlignment="1">
      <alignment horizontal="center" vertical="center"/>
    </xf>
    <xf numFmtId="0" fontId="8" fillId="17" borderId="3" xfId="20" applyBorder="1" applyAlignment="1">
      <alignment horizontal="center" vertical="center"/>
    </xf>
    <xf numFmtId="0" fontId="8" fillId="12" borderId="5" xfId="15" applyBorder="1" applyAlignment="1">
      <alignment horizontal="center" vertical="center"/>
    </xf>
    <xf numFmtId="0" fontId="8" fillId="12" borderId="11" xfId="15" applyBorder="1" applyAlignment="1">
      <alignment horizontal="center" vertical="center"/>
    </xf>
    <xf numFmtId="0" fontId="8" fillId="12" borderId="6" xfId="15" applyBorder="1" applyAlignment="1">
      <alignment horizontal="center" vertical="center"/>
    </xf>
    <xf numFmtId="0" fontId="16" fillId="0" borderId="9" xfId="24" applyBorder="1" applyAlignment="1">
      <alignment horizontal="center" vertical="center"/>
    </xf>
    <xf numFmtId="0" fontId="16" fillId="0" borderId="17" xfId="24" applyBorder="1" applyAlignment="1">
      <alignment horizontal="center" vertical="center"/>
    </xf>
    <xf numFmtId="0" fontId="16" fillId="0" borderId="10" xfId="24" applyBorder="1" applyAlignment="1">
      <alignment horizontal="center" vertical="center"/>
    </xf>
    <xf numFmtId="0" fontId="8" fillId="15" borderId="5" xfId="18" applyBorder="1" applyAlignment="1">
      <alignment horizontal="center" vertical="center"/>
    </xf>
    <xf numFmtId="0" fontId="8" fillId="15" borderId="11" xfId="18" applyBorder="1" applyAlignment="1">
      <alignment horizontal="center" vertical="center"/>
    </xf>
    <xf numFmtId="0" fontId="8" fillId="15" borderId="6" xfId="18" applyBorder="1" applyAlignment="1">
      <alignment horizontal="center" vertical="center"/>
    </xf>
    <xf numFmtId="0" fontId="8" fillId="8" borderId="5" xfId="11" applyBorder="1" applyAlignment="1">
      <alignment horizontal="center" vertical="center"/>
    </xf>
    <xf numFmtId="0" fontId="8" fillId="8" borderId="11" xfId="11" applyBorder="1" applyAlignment="1">
      <alignment horizontal="center" vertical="center"/>
    </xf>
    <xf numFmtId="0" fontId="8" fillId="8" borderId="6" xfId="11" applyBorder="1" applyAlignment="1">
      <alignment horizontal="center" vertical="center"/>
    </xf>
    <xf numFmtId="0" fontId="16" fillId="0" borderId="5" xfId="24" applyBorder="1" applyAlignment="1">
      <alignment horizontal="center"/>
    </xf>
    <xf numFmtId="0" fontId="16" fillId="0" borderId="11" xfId="24" applyBorder="1" applyAlignment="1">
      <alignment horizontal="center"/>
    </xf>
    <xf numFmtId="0" fontId="16" fillId="0" borderId="6" xfId="24" applyBorder="1" applyAlignment="1">
      <alignment horizontal="center"/>
    </xf>
    <xf numFmtId="0" fontId="8" fillId="6" borderId="5" xfId="9" applyBorder="1" applyAlignment="1">
      <alignment horizontal="center" vertical="center"/>
    </xf>
    <xf numFmtId="0" fontId="8" fillId="6" borderId="11" xfId="9" applyBorder="1" applyAlignment="1">
      <alignment horizontal="center" vertical="center"/>
    </xf>
    <xf numFmtId="0" fontId="8" fillId="6" borderId="6" xfId="9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18" borderId="3" xfId="21" applyBorder="1" applyAlignment="1">
      <alignment horizontal="center" vertical="center" wrapText="1"/>
    </xf>
    <xf numFmtId="0" fontId="1" fillId="18" borderId="3" xfId="21" applyBorder="1" applyAlignment="1">
      <alignment horizontal="center" vertical="center"/>
    </xf>
    <xf numFmtId="0" fontId="8" fillId="17" borderId="5" xfId="20" applyBorder="1" applyAlignment="1">
      <alignment horizontal="center" vertical="center" wrapText="1"/>
    </xf>
    <xf numFmtId="0" fontId="8" fillId="17" borderId="6" xfId="20" applyBorder="1" applyAlignment="1">
      <alignment horizontal="center" vertical="center" wrapText="1"/>
    </xf>
  </cellXfs>
  <cellStyles count="27">
    <cellStyle name="20% - Accent1" xfId="8" builtinId="30"/>
    <cellStyle name="20% - Accent2" xfId="25" builtinId="34"/>
    <cellStyle name="20% - Accent3" xfId="12" builtinId="38"/>
    <cellStyle name="20% - Accent4" xfId="16" builtinId="42"/>
    <cellStyle name="20% - Accent5" xfId="19" builtinId="46"/>
    <cellStyle name="20% - Accent6" xfId="21" builtinId="50"/>
    <cellStyle name="40% - Accent2" xfId="10" builtinId="35"/>
    <cellStyle name="40% - Accent3" xfId="13" builtinId="39"/>
    <cellStyle name="40% - Accent6" xfId="22" builtinId="51"/>
    <cellStyle name="60% - Accent3" xfId="14" builtinId="40"/>
    <cellStyle name="60% - Accent4" xfId="17" builtinId="44"/>
    <cellStyle name="Accent1" xfId="7" builtinId="29"/>
    <cellStyle name="Accent2" xfId="9" builtinId="33"/>
    <cellStyle name="Accent3" xfId="11" builtinId="37"/>
    <cellStyle name="Accent4" xfId="15" builtinId="41"/>
    <cellStyle name="Accent5" xfId="18" builtinId="45"/>
    <cellStyle name="Accent6" xfId="20" builtinId="49"/>
    <cellStyle name="Bad" xfId="26" builtinId="27"/>
    <cellStyle name="Explanatory Text" xfId="6" builtinId="53"/>
    <cellStyle name="Heading 1" xfId="2" builtinId="16"/>
    <cellStyle name="Heading 4" xfId="24" builtinId="19"/>
    <cellStyle name="Hyperlink" xfId="23" builtinId="8"/>
    <cellStyle name="Neutral" xfId="3" builtinId="28"/>
    <cellStyle name="Normal" xfId="0" builtinId="0"/>
    <cellStyle name="Note" xfId="5" builtinId="10"/>
    <cellStyle name="Per cent" xfId="1" builtinId="5"/>
    <cellStyle name="Warning Text" xfId="4" builtin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 w="12700"/>
          </c:spPr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091-4E94-8982-4A092D35A9CD}"/>
              </c:ext>
            </c:extLst>
          </c:dPt>
          <c:dPt>
            <c:idx val="1"/>
            <c:bubble3D val="0"/>
            <c:spPr>
              <a:solidFill>
                <a:schemeClr val="bg1">
                  <a:lumMod val="9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091-4E94-8982-4A092D35A9CD}"/>
              </c:ext>
            </c:extLst>
          </c:dPt>
          <c:dPt>
            <c:idx val="2"/>
            <c:bubble3D val="0"/>
            <c:spPr>
              <a:solidFill>
                <a:schemeClr val="bg2">
                  <a:lumMod val="2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091-4E94-8982-4A092D35A9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'Scenario 2'!$S$114:$S$116</c:f>
              <c:numCache>
                <c:formatCode>0%</c:formatCode>
                <c:ptCount val="3"/>
                <c:pt idx="0">
                  <c:v>0.2039901245584354</c:v>
                </c:pt>
                <c:pt idx="1">
                  <c:v>0.22303917439378498</c:v>
                </c:pt>
                <c:pt idx="2">
                  <c:v>0.57297070104777958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OMC</c:v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E091-4E94-8982-4A092D35A9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SimaPro (GF)'!$J$118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(GF)'!$H$119:$H$122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SimaPro (GF)'!$J$119:$J$122</c:f>
              <c:numCache>
                <c:formatCode>0%</c:formatCode>
                <c:ptCount val="4"/>
                <c:pt idx="0">
                  <c:v>0.97987643983540307</c:v>
                </c:pt>
                <c:pt idx="1">
                  <c:v>0.99519933761619261</c:v>
                </c:pt>
                <c:pt idx="2">
                  <c:v>0.98678393974755008</c:v>
                </c:pt>
                <c:pt idx="3">
                  <c:v>0.9842794138416241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AB-4197-A13F-E16F6BFF5C6D}"/>
            </c:ext>
          </c:extLst>
        </c:ser>
        <c:ser>
          <c:idx val="1"/>
          <c:order val="1"/>
          <c:tx>
            <c:strRef>
              <c:f>'Results SimaPro (GF)'!$K$118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(GF)'!$H$119:$H$122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SimaPro (GF)'!$K$119:$K$122</c:f>
              <c:numCache>
                <c:formatCode>0%</c:formatCode>
                <c:ptCount val="4"/>
                <c:pt idx="0">
                  <c:v>2.0123560164597019E-2</c:v>
                </c:pt>
                <c:pt idx="1">
                  <c:v>4.8006623838073737E-3</c:v>
                </c:pt>
                <c:pt idx="2">
                  <c:v>1.3216060252449945E-2</c:v>
                </c:pt>
                <c:pt idx="3">
                  <c:v>1.5720586158375963E-2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AB-4197-A13F-E16F6BFF5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SimaPro (GF)'!$K$126</c:f>
              <c:strCache>
                <c:ptCount val="1"/>
                <c:pt idx="0">
                  <c:v>Biomass cultivation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(GF)'!$I$127:$I$130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SimaPro (GF)'!$K$127:$K$130</c:f>
              <c:numCache>
                <c:formatCode>0%</c:formatCode>
                <c:ptCount val="4"/>
                <c:pt idx="0">
                  <c:v>0.90900538675004228</c:v>
                </c:pt>
                <c:pt idx="1">
                  <c:v>0.97735922489792371</c:v>
                </c:pt>
                <c:pt idx="2">
                  <c:v>0.9381428746360635</c:v>
                </c:pt>
                <c:pt idx="3">
                  <c:v>0.92586094855286283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9F-4AFE-A00B-92AA809F4AF9}"/>
            </c:ext>
          </c:extLst>
        </c:ser>
        <c:ser>
          <c:idx val="1"/>
          <c:order val="1"/>
          <c:tx>
            <c:strRef>
              <c:f>'Results SimaPro (GF)'!$L$126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(GF)'!$I$127:$I$130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SimaPro (GF)'!$L$127:$L$130</c:f>
              <c:numCache>
                <c:formatCode>0%</c:formatCode>
                <c:ptCount val="4"/>
                <c:pt idx="0">
                  <c:v>9.0994613249957806E-2</c:v>
                </c:pt>
                <c:pt idx="1">
                  <c:v>2.2640775102076214E-2</c:v>
                </c:pt>
                <c:pt idx="2">
                  <c:v>6.1857125363936449E-2</c:v>
                </c:pt>
                <c:pt idx="3">
                  <c:v>7.4139051447137172E-2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9F-4AFE-A00B-92AA809F4AF9}"/>
            </c:ext>
          </c:extLst>
        </c:ser>
        <c:ser>
          <c:idx val="2"/>
          <c:order val="2"/>
          <c:tx>
            <c:strRef>
              <c:f>'Results SimaPro (GF)'!$M$126</c:f>
              <c:strCache>
                <c:ptCount val="1"/>
                <c:pt idx="0">
                  <c:v>Irrigation water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(GF)'!$I$127:$I$130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SimaPro (GF)'!$M$127:$M$130</c:f>
              <c:numCache>
                <c:formatCode>0%</c:formatCode>
                <c:ptCount val="4"/>
                <c:pt idx="0">
                  <c:v>-6.1463491079485386E-2</c:v>
                </c:pt>
                <c:pt idx="1">
                  <c:v>-5.8189331645539478E-3</c:v>
                </c:pt>
                <c:pt idx="2">
                  <c:v>-2.1693190075842392E-2</c:v>
                </c:pt>
                <c:pt idx="3">
                  <c:v>-1.6754490087783805E-2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9F-4AFE-A00B-92AA809F4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-0.1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SimaPro (GF)'!$O$134</c:f>
              <c:strCache>
                <c:ptCount val="1"/>
                <c:pt idx="0">
                  <c:v>Pig manure (transport)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SimaPro (GF)'!$O$135:$O$138</c:f>
              <c:numCache>
                <c:formatCode>0%</c:formatCode>
                <c:ptCount val="4"/>
                <c:pt idx="0">
                  <c:v>0.46035247757686931</c:v>
                </c:pt>
                <c:pt idx="1">
                  <c:v>0.8194041324139264</c:v>
                </c:pt>
                <c:pt idx="2">
                  <c:v>0.56655907795142291</c:v>
                </c:pt>
                <c:pt idx="3">
                  <c:v>0.55433937153997515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63-4B26-94A6-E795C349BEC3}"/>
            </c:ext>
          </c:extLst>
        </c:ser>
        <c:ser>
          <c:idx val="1"/>
          <c:order val="1"/>
          <c:tx>
            <c:strRef>
              <c:f>'Results SimaPro (GF)'!$P$134</c:f>
              <c:strCache>
                <c:ptCount val="1"/>
                <c:pt idx="0">
                  <c:v>CO2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SimaPro (GF)'!$P$135:$P$138</c:f>
              <c:numCache>
                <c:formatCode>0%</c:formatCode>
                <c:ptCount val="4"/>
                <c:pt idx="0">
                  <c:v>0.22896099063733688</c:v>
                </c:pt>
                <c:pt idx="1">
                  <c:v>0.10321155332415113</c:v>
                </c:pt>
                <c:pt idx="2">
                  <c:v>0.23415886036750719</c:v>
                </c:pt>
                <c:pt idx="3">
                  <c:v>0.20751541930271794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63-4B26-94A6-E795C349BEC3}"/>
            </c:ext>
          </c:extLst>
        </c:ser>
        <c:ser>
          <c:idx val="2"/>
          <c:order val="2"/>
          <c:tx>
            <c:strRef>
              <c:f>'Results SimaPro (GF)'!$Q$134</c:f>
              <c:strCache>
                <c:ptCount val="1"/>
                <c:pt idx="0">
                  <c:v>Water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SimaPro (GF)'!$Q$135:$Q$138</c:f>
              <c:numCache>
                <c:formatCode>0%</c:formatCode>
                <c:ptCount val="4"/>
                <c:pt idx="0">
                  <c:v>8.8651322751268247E-2</c:v>
                </c:pt>
                <c:pt idx="1">
                  <c:v>2.6551649367638964E-2</c:v>
                </c:pt>
                <c:pt idx="2">
                  <c:v>5.2110742610730815E-2</c:v>
                </c:pt>
                <c:pt idx="3">
                  <c:v>5.5342544744293086E-2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63-4B26-94A6-E795C349BEC3}"/>
            </c:ext>
          </c:extLst>
        </c:ser>
        <c:ser>
          <c:idx val="3"/>
          <c:order val="3"/>
          <c:tx>
            <c:strRef>
              <c:f>'Results SimaPro (GF)'!$R$134</c:f>
              <c:strCache>
                <c:ptCount val="1"/>
                <c:pt idx="0">
                  <c:v>Thin-layer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SimaPro (GF)'!$R$135:$R$138</c:f>
              <c:numCache>
                <c:formatCode>0%</c:formatCode>
                <c:ptCount val="4"/>
                <c:pt idx="0">
                  <c:v>3.0948662871728184E-3</c:v>
                </c:pt>
                <c:pt idx="1">
                  <c:v>1.6777361624605955E-4</c:v>
                </c:pt>
                <c:pt idx="2">
                  <c:v>2.9628424435358541E-3</c:v>
                </c:pt>
                <c:pt idx="3">
                  <c:v>7.6683291259915859E-3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63-4B26-94A6-E795C349BEC3}"/>
            </c:ext>
          </c:extLst>
        </c:ser>
        <c:ser>
          <c:idx val="4"/>
          <c:order val="4"/>
          <c:tx>
            <c:strRef>
              <c:f>'Results SimaPro (GF)'!$S$134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SimaPro (GF)'!$S$135:$S$138</c:f>
              <c:numCache>
                <c:formatCode>0%</c:formatCode>
                <c:ptCount val="4"/>
                <c:pt idx="0">
                  <c:v>0.21894034274735269</c:v>
                </c:pt>
                <c:pt idx="1">
                  <c:v>5.0664891278037395E-2</c:v>
                </c:pt>
                <c:pt idx="2">
                  <c:v>0.14420847662680306</c:v>
                </c:pt>
                <c:pt idx="3">
                  <c:v>0.17513433528702224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63-4B26-94A6-E795C349B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SimaPro (GF)'!$AF$4</c:f>
              <c:strCache>
                <c:ptCount val="1"/>
                <c:pt idx="0">
                  <c:v>Biostimulant delivery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SimaPro (GF)'!$AF$7,'Results SimaPro (GF)'!$AF$10,'Results SimaPro (GF)'!$AF$13,'Results SimaPro (GF)'!$AF$16)</c:f>
              <c:numCache>
                <c:formatCode>0.00%</c:formatCode>
                <c:ptCount val="4"/>
                <c:pt idx="0">
                  <c:v>4.9988212950740039E-2</c:v>
                </c:pt>
                <c:pt idx="1">
                  <c:v>3.8382101803133756E-2</c:v>
                </c:pt>
                <c:pt idx="2">
                  <c:v>7.6579749161577171E-2</c:v>
                </c:pt>
                <c:pt idx="3">
                  <c:v>5.2303236747937298E-2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E-4E67-B069-99960F3097C2}"/>
            </c:ext>
          </c:extLst>
        </c:ser>
        <c:ser>
          <c:idx val="1"/>
          <c:order val="1"/>
          <c:tx>
            <c:strRef>
              <c:f>'Results SimaPro (GF)'!$AG$4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SimaPro (GF)'!$AG$7,'Results SimaPro (GF)'!$AG$10,'Results SimaPro (GF)'!$AG$13,'Results SimaPro (GF)'!$AG$16)</c:f>
              <c:numCache>
                <c:formatCode>0.00%</c:formatCode>
                <c:ptCount val="4"/>
                <c:pt idx="0">
                  <c:v>0.14677485776666555</c:v>
                </c:pt>
                <c:pt idx="1">
                  <c:v>0.24064839986800876</c:v>
                </c:pt>
                <c:pt idx="2">
                  <c:v>0.12779460739863061</c:v>
                </c:pt>
                <c:pt idx="3">
                  <c:v>0.1112604368870547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4E-4E67-B069-99960F3097C2}"/>
            </c:ext>
          </c:extLst>
        </c:ser>
        <c:ser>
          <c:idx val="2"/>
          <c:order val="2"/>
          <c:tx>
            <c:strRef>
              <c:f>'Results SimaPro (GF)'!$AH$4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SimaPro (GF)'!$AH$7,'Results SimaPro (GF)'!$AH$10,'Results SimaPro (GF)'!$AH$13,'Results SimaPro (GF)'!$AH$16)</c:f>
              <c:numCache>
                <c:formatCode>0.00%</c:formatCode>
                <c:ptCount val="4"/>
                <c:pt idx="0">
                  <c:v>1.0615627654391595E-2</c:v>
                </c:pt>
                <c:pt idx="1">
                  <c:v>1.4508473076460075E-2</c:v>
                </c:pt>
                <c:pt idx="2">
                  <c:v>3.8195300980539775E-3</c:v>
                </c:pt>
                <c:pt idx="3">
                  <c:v>1.3149269334616484E-2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4E-4E67-B069-99960F3097C2}"/>
            </c:ext>
          </c:extLst>
        </c:ser>
        <c:ser>
          <c:idx val="3"/>
          <c:order val="3"/>
          <c:tx>
            <c:strRef>
              <c:f>'Results SimaPro (GF)'!$AI$4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SimaPro (GF)'!$AI$7,'Results SimaPro (GF)'!$AI$10,'Results SimaPro (GF)'!$AI$13,'Results SimaPro (GF)'!$AI$16)</c:f>
              <c:numCache>
                <c:formatCode>0.00%</c:formatCode>
                <c:ptCount val="4"/>
                <c:pt idx="0">
                  <c:v>3.2540702306905214E-2</c:v>
                </c:pt>
                <c:pt idx="1">
                  <c:v>2.2228849540868057E-2</c:v>
                </c:pt>
                <c:pt idx="2">
                  <c:v>1.339759700533822E-2</c:v>
                </c:pt>
                <c:pt idx="3">
                  <c:v>4.8049003188165969E-2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4E-4E67-B069-99960F3097C2}"/>
            </c:ext>
          </c:extLst>
        </c:ser>
        <c:ser>
          <c:idx val="4"/>
          <c:order val="4"/>
          <c:tx>
            <c:strRef>
              <c:f>'Results SimaPro (GF)'!$AJ$4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SimaPro (GF)'!$AJ$7,'Results SimaPro (GF)'!$AJ$10,'Results SimaPro (GF)'!$AJ$13,'Results SimaPro (GF)'!$AJ$16)</c:f>
              <c:numCache>
                <c:formatCode>0.00%</c:formatCode>
                <c:ptCount val="4"/>
                <c:pt idx="0">
                  <c:v>0.76008059932129757</c:v>
                </c:pt>
                <c:pt idx="1">
                  <c:v>0.68423217571152939</c:v>
                </c:pt>
                <c:pt idx="2">
                  <c:v>0.77840851633640007</c:v>
                </c:pt>
                <c:pt idx="3">
                  <c:v>0.77523805384222555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4E-4E67-B069-99960F309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5537487"/>
        <c:axId val="1664588207"/>
      </c:barChart>
      <c:catAx>
        <c:axId val="83553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4588207"/>
        <c:crosses val="autoZero"/>
        <c:auto val="1"/>
        <c:lblAlgn val="ctr"/>
        <c:lblOffset val="100"/>
        <c:noMultiLvlLbl val="0"/>
      </c:catAx>
      <c:valAx>
        <c:axId val="16645882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553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SimaPro (GF)'!$AN$4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SimaPro (GF)'!$AN$7,'Results SimaPro (GF)'!$AN$10,'Results SimaPro (GF)'!$AN$13,'Results SimaPro (GF)'!$AN$16)</c:f>
              <c:numCache>
                <c:formatCode>0.0%</c:formatCode>
                <c:ptCount val="4"/>
                <c:pt idx="0">
                  <c:v>0.15449793335990997</c:v>
                </c:pt>
                <c:pt idx="1">
                  <c:v>0.2502536613755314</c:v>
                </c:pt>
                <c:pt idx="2">
                  <c:v>0.13839268446040576</c:v>
                </c:pt>
                <c:pt idx="3">
                  <c:v>0.11740088306860902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58-4A48-BBFD-97E06601FF4D}"/>
            </c:ext>
          </c:extLst>
        </c:ser>
        <c:ser>
          <c:idx val="1"/>
          <c:order val="1"/>
          <c:tx>
            <c:strRef>
              <c:f>'Results SimaPro (GF)'!$AO$4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SimaPro (GF)'!$AO$7,'Results SimaPro (GF)'!$AO$10,'Results SimaPro (GF)'!$AO$13,'Results SimaPro (GF)'!$AO$16)</c:f>
              <c:numCache>
                <c:formatCode>0.0%</c:formatCode>
                <c:ptCount val="4"/>
                <c:pt idx="0">
                  <c:v>1.1174206256286354E-2</c:v>
                </c:pt>
                <c:pt idx="1">
                  <c:v>1.5087565553495786E-2</c:v>
                </c:pt>
                <c:pt idx="2">
                  <c:v>4.1362858293241709E-3</c:v>
                </c:pt>
                <c:pt idx="3">
                  <c:v>1.3874975461026413E-2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58-4A48-BBFD-97E06601FF4D}"/>
            </c:ext>
          </c:extLst>
        </c:ser>
        <c:ser>
          <c:idx val="2"/>
          <c:order val="2"/>
          <c:tx>
            <c:strRef>
              <c:f>'Results SimaPro (GF)'!$AP$4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SimaPro (GF)'!$AP$7,'Results SimaPro (GF)'!$AP$10,'Results SimaPro (GF)'!$AP$13,'Results SimaPro (GF)'!$AP$16)</c:f>
              <c:numCache>
                <c:formatCode>0.0%</c:formatCode>
                <c:ptCount val="4"/>
                <c:pt idx="0">
                  <c:v>3.4252945858678892E-2</c:v>
                </c:pt>
                <c:pt idx="1">
                  <c:v>2.3116093806645564E-2</c:v>
                </c:pt>
                <c:pt idx="2">
                  <c:v>1.4508667091905176E-2</c:v>
                </c:pt>
                <c:pt idx="3">
                  <c:v>5.0700820189871383E-2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58-4A48-BBFD-97E06601FF4D}"/>
            </c:ext>
          </c:extLst>
        </c:ser>
        <c:ser>
          <c:idx val="3"/>
          <c:order val="3"/>
          <c:tx>
            <c:strRef>
              <c:f>'Results SimaPro (GF)'!$AQ$4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SimaPro (GF)'!$AQ$7,'Results SimaPro (GF)'!$AQ$10,'Results SimaPro (GF)'!$AQ$13,'Results SimaPro (GF)'!$AQ$16)</c:f>
              <c:numCache>
                <c:formatCode>0.0%</c:formatCode>
                <c:ptCount val="4"/>
                <c:pt idx="0">
                  <c:v>0.8000749145251248</c:v>
                </c:pt>
                <c:pt idx="1">
                  <c:v>0.71154267926432724</c:v>
                </c:pt>
                <c:pt idx="2">
                  <c:v>0.84296236261836488</c:v>
                </c:pt>
                <c:pt idx="3">
                  <c:v>0.81802332128049315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58-4A48-BBFD-97E06601F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5537487"/>
        <c:axId val="1664588207"/>
      </c:barChart>
      <c:catAx>
        <c:axId val="83553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4588207"/>
        <c:crosses val="autoZero"/>
        <c:auto val="1"/>
        <c:lblAlgn val="ctr"/>
        <c:lblOffset val="100"/>
        <c:noMultiLvlLbl val="0"/>
      </c:catAx>
      <c:valAx>
        <c:axId val="16645882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553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SimaPro (GF)'!$AN$35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(GF)'!$B$62:$B$76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SimaPro (GF)'!$AN$38,'Results SimaPro (GF)'!$AN$41,'Results SimaPro (GF)'!$AN$44,'Results SimaPro (GF)'!$AN$47,'Results SimaPro (GF)'!$AN$50,'Results SimaPro (GF)'!$AN$53,'Results SimaPro (GF)'!$AN$56,'Results SimaPro (GF)'!$AN$59,'Results SimaPro (GF)'!$AN$62,'Results SimaPro (GF)'!$AN$65,'Results SimaPro (GF)'!$AN$68,'Results SimaPro (GF)'!$AN$71,'Results SimaPro (GF)'!$AN$74,'Results SimaPro (GF)'!$AN$77,'Results SimaPro (GF)'!$AN$80)</c:f>
              <c:numCache>
                <c:formatCode>0.0%</c:formatCode>
                <c:ptCount val="15"/>
                <c:pt idx="0">
                  <c:v>0.17582277993706086</c:v>
                </c:pt>
                <c:pt idx="1">
                  <c:v>0.44823699041702636</c:v>
                </c:pt>
                <c:pt idx="2">
                  <c:v>0.23526698492143108</c:v>
                </c:pt>
                <c:pt idx="3">
                  <c:v>4.7407261056579775E-2</c:v>
                </c:pt>
                <c:pt idx="4">
                  <c:v>9.205021127271798E-2</c:v>
                </c:pt>
                <c:pt idx="5">
                  <c:v>0.11897817625702328</c:v>
                </c:pt>
                <c:pt idx="6">
                  <c:v>0.15278385045998863</c:v>
                </c:pt>
                <c:pt idx="7">
                  <c:v>9.0613003071390905E-2</c:v>
                </c:pt>
                <c:pt idx="8">
                  <c:v>0.23738480039741794</c:v>
                </c:pt>
                <c:pt idx="9">
                  <c:v>0.43952284817285159</c:v>
                </c:pt>
                <c:pt idx="10">
                  <c:v>0.26617072721103163</c:v>
                </c:pt>
                <c:pt idx="11">
                  <c:v>0.60071272165419209</c:v>
                </c:pt>
                <c:pt idx="12">
                  <c:v>0.15449793335990997</c:v>
                </c:pt>
                <c:pt idx="13">
                  <c:v>0.11677771593454188</c:v>
                </c:pt>
                <c:pt idx="14">
                  <c:v>0.30976412750200044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76-4178-83D0-1AAF7F017EF5}"/>
            </c:ext>
          </c:extLst>
        </c:ser>
        <c:ser>
          <c:idx val="1"/>
          <c:order val="1"/>
          <c:tx>
            <c:strRef>
              <c:f>'Results SimaPro (GF)'!$AO$35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(GF)'!$B$62:$B$76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SimaPro (GF)'!$AO$38,'Results SimaPro (GF)'!$AO$41,'Results SimaPro (GF)'!$AO$44,'Results SimaPro (GF)'!$AO$47,'Results SimaPro (GF)'!$AO$50,'Results SimaPro (GF)'!$AO$53,'Results SimaPro (GF)'!$AO$56,'Results SimaPro (GF)'!$AO$59,'Results SimaPro (GF)'!$AO$62,'Results SimaPro (GF)'!$AO$65,'Results SimaPro (GF)'!$AO$68,'Results SimaPro (GF)'!$AO$71,'Results SimaPro (GF)'!$AO$74,'Results SimaPro (GF)'!$AO$77,'Results SimaPro (GF)'!$AO$80)</c:f>
              <c:numCache>
                <c:formatCode>0.0%</c:formatCode>
                <c:ptCount val="15"/>
                <c:pt idx="0">
                  <c:v>1.2584670754021178E-2</c:v>
                </c:pt>
                <c:pt idx="1">
                  <c:v>2.7830366434612435E-3</c:v>
                </c:pt>
                <c:pt idx="2">
                  <c:v>1.6478914592162011E-2</c:v>
                </c:pt>
                <c:pt idx="3">
                  <c:v>2.0178343208492721E-2</c:v>
                </c:pt>
                <c:pt idx="4">
                  <c:v>1.0834335714651444E-2</c:v>
                </c:pt>
                <c:pt idx="5">
                  <c:v>4.1844224139054587E-3</c:v>
                </c:pt>
                <c:pt idx="6">
                  <c:v>8.0340902486159948E-3</c:v>
                </c:pt>
                <c:pt idx="7">
                  <c:v>3.5697858480784536E-3</c:v>
                </c:pt>
                <c:pt idx="8">
                  <c:v>1.7005122109868539E-2</c:v>
                </c:pt>
                <c:pt idx="9">
                  <c:v>3.7871086019795226E-3</c:v>
                </c:pt>
                <c:pt idx="10">
                  <c:v>1.7565965214965784E-2</c:v>
                </c:pt>
                <c:pt idx="11">
                  <c:v>3.8160654249049472E-3</c:v>
                </c:pt>
                <c:pt idx="12">
                  <c:v>1.1174206256286354E-2</c:v>
                </c:pt>
                <c:pt idx="13">
                  <c:v>1.3899618391282859E-2</c:v>
                </c:pt>
                <c:pt idx="14">
                  <c:v>2.6769657343377684E-3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76-4178-83D0-1AAF7F017EF5}"/>
            </c:ext>
          </c:extLst>
        </c:ser>
        <c:ser>
          <c:idx val="2"/>
          <c:order val="2"/>
          <c:tx>
            <c:strRef>
              <c:f>'Results SimaPro (GF)'!$AP$35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(GF)'!$B$62:$B$76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SimaPro (GF)'!$AP$38,'Results SimaPro (GF)'!$AP$41,'Results SimaPro (GF)'!$AP$44,'Results SimaPro (GF)'!$AP$47,'Results SimaPro (GF)'!$AP$50,'Results SimaPro (GF)'!$AP$53,'Results SimaPro (GF)'!$AP$56,'Results SimaPro (GF)'!$AP$59,'Results SimaPro (GF)'!$AP$62,'Results SimaPro (GF)'!$AP$65,'Results SimaPro (GF)'!$AP$68,'Results SimaPro (GF)'!$AP$71,'Results SimaPro (GF)'!$AP$74,'Results SimaPro (GF)'!$AP$77,'Results SimaPro (GF)'!$AP$80)</c:f>
              <c:numCache>
                <c:formatCode>0.0%</c:formatCode>
                <c:ptCount val="15"/>
                <c:pt idx="0">
                  <c:v>3.0661141042852273E-2</c:v>
                </c:pt>
                <c:pt idx="1">
                  <c:v>6.3741377759142801E-3</c:v>
                </c:pt>
                <c:pt idx="2">
                  <c:v>2.3810063413103547E-2</c:v>
                </c:pt>
                <c:pt idx="3">
                  <c:v>8.7359962197663635E-2</c:v>
                </c:pt>
                <c:pt idx="4">
                  <c:v>4.4883019458902974E-2</c:v>
                </c:pt>
                <c:pt idx="5">
                  <c:v>1.3117027437861755E-2</c:v>
                </c:pt>
                <c:pt idx="6">
                  <c:v>2.8870752553906368E-2</c:v>
                </c:pt>
                <c:pt idx="7">
                  <c:v>1.2700131158800077E-2</c:v>
                </c:pt>
                <c:pt idx="8">
                  <c:v>5.7521348356217743E-2</c:v>
                </c:pt>
                <c:pt idx="9">
                  <c:v>1.2621514505245891E-2</c:v>
                </c:pt>
                <c:pt idx="10">
                  <c:v>5.9889758193004378E-2</c:v>
                </c:pt>
                <c:pt idx="11">
                  <c:v>8.544144308133949E-3</c:v>
                </c:pt>
                <c:pt idx="12">
                  <c:v>3.4252945858678892E-2</c:v>
                </c:pt>
                <c:pt idx="13">
                  <c:v>5.0793324534044351E-2</c:v>
                </c:pt>
                <c:pt idx="14">
                  <c:v>8.9340363609452644E-3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176-4178-83D0-1AAF7F017EF5}"/>
            </c:ext>
          </c:extLst>
        </c:ser>
        <c:ser>
          <c:idx val="3"/>
          <c:order val="3"/>
          <c:tx>
            <c:strRef>
              <c:f>'Results SimaPro (GF)'!$AQ$35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(GF)'!$B$62:$B$76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SimaPro (GF)'!$AQ$38,'Results SimaPro (GF)'!$AQ$41,'Results SimaPro (GF)'!$AQ$44,'Results SimaPro (GF)'!$AQ$47,'Results SimaPro (GF)'!$AQ$50,'Results SimaPro (GF)'!$AQ$53,'Results SimaPro (GF)'!$AQ$56,'Results SimaPro (GF)'!$AQ$59,'Results SimaPro (GF)'!$AQ$62,'Results SimaPro (GF)'!$AQ$65,'Results SimaPro (GF)'!$AQ$68,'Results SimaPro (GF)'!$AQ$71,'Results SimaPro (GF)'!$AQ$74,'Results SimaPro (GF)'!$AQ$77,'Results SimaPro (GF)'!$AQ$80)</c:f>
              <c:numCache>
                <c:formatCode>0.0%</c:formatCode>
                <c:ptCount val="15"/>
                <c:pt idx="0">
                  <c:v>0.78093140826606566</c:v>
                </c:pt>
                <c:pt idx="1">
                  <c:v>0.54260583516359817</c:v>
                </c:pt>
                <c:pt idx="2">
                  <c:v>0.7244440370733034</c:v>
                </c:pt>
                <c:pt idx="3">
                  <c:v>0.84505443353726384</c:v>
                </c:pt>
                <c:pt idx="4">
                  <c:v>0.85223243355372758</c:v>
                </c:pt>
                <c:pt idx="5">
                  <c:v>0.86372037389120948</c:v>
                </c:pt>
                <c:pt idx="6">
                  <c:v>0.81031130673748897</c:v>
                </c:pt>
                <c:pt idx="7">
                  <c:v>0.89311707992173062</c:v>
                </c:pt>
                <c:pt idx="8">
                  <c:v>0.68808872913649577</c:v>
                </c:pt>
                <c:pt idx="9">
                  <c:v>0.54406852871992295</c:v>
                </c:pt>
                <c:pt idx="10">
                  <c:v>0.65637354938099823</c:v>
                </c:pt>
                <c:pt idx="11">
                  <c:v>0.3869270686127691</c:v>
                </c:pt>
                <c:pt idx="12">
                  <c:v>0.8000749145251248</c:v>
                </c:pt>
                <c:pt idx="13">
                  <c:v>0.81852934114013087</c:v>
                </c:pt>
                <c:pt idx="14">
                  <c:v>0.67862487040271657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176-4178-83D0-1AAF7F017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5537487"/>
        <c:axId val="1664588207"/>
      </c:barChart>
      <c:catAx>
        <c:axId val="83553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4588207"/>
        <c:crosses val="autoZero"/>
        <c:auto val="1"/>
        <c:lblAlgn val="ctr"/>
        <c:lblOffset val="100"/>
        <c:noMultiLvlLbl val="0"/>
      </c:catAx>
      <c:valAx>
        <c:axId val="16645882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553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SimaPro (GF)'!$AF$35</c:f>
              <c:strCache>
                <c:ptCount val="1"/>
                <c:pt idx="0">
                  <c:v>Biostimulant delivery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(GF)'!$B$24:$B$38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SimaPro (GF)'!$AF$38,'Results SimaPro (GF)'!$AF$41,'Results SimaPro (GF)'!$AF$44,'Results SimaPro (GF)'!$AF$47,'Results SimaPro (GF)'!$AF$50,'Results SimaPro (GF)'!$AF$53,'Results SimaPro (GF)'!$AF$56,'Results SimaPro (GF)'!$AF$59,'Results SimaPro (GF)'!$AF$62,'Results SimaPro (GF)'!$AF$65,'Results SimaPro (GF)'!$AF$68,'Results SimaPro (GF)'!$AF$71,'Results SimaPro (GF)'!$AF$74,'Results SimaPro (GF)'!$AF$77,'Results SimaPro (GF)'!$AF$80)</c:f>
              <c:numCache>
                <c:formatCode>0.0%</c:formatCode>
                <c:ptCount val="15"/>
                <c:pt idx="0">
                  <c:v>3.021572298205364E-2</c:v>
                </c:pt>
                <c:pt idx="1">
                  <c:v>4.1767963276045345E-2</c:v>
                </c:pt>
                <c:pt idx="2">
                  <c:v>3.7941822643312847E-2</c:v>
                </c:pt>
                <c:pt idx="3">
                  <c:v>-0.35464180007697094</c:v>
                </c:pt>
                <c:pt idx="4">
                  <c:v>6.7880461423380278E-2</c:v>
                </c:pt>
                <c:pt idx="5">
                  <c:v>7.4965988210013837E-2</c:v>
                </c:pt>
                <c:pt idx="6">
                  <c:v>6.1375583084515885E-2</c:v>
                </c:pt>
                <c:pt idx="7">
                  <c:v>8.0679244331687466E-2</c:v>
                </c:pt>
                <c:pt idx="8">
                  <c:v>3.6157926864987533E-2</c:v>
                </c:pt>
                <c:pt idx="9">
                  <c:v>4.7320224942902125E-2</c:v>
                </c:pt>
                <c:pt idx="10">
                  <c:v>3.0399327395058323E-2</c:v>
                </c:pt>
                <c:pt idx="11">
                  <c:v>1.8598684486177058E-2</c:v>
                </c:pt>
                <c:pt idx="12">
                  <c:v>4.9988212950740039E-2</c:v>
                </c:pt>
                <c:pt idx="13">
                  <c:v>5.1030832438204332E-2</c:v>
                </c:pt>
                <c:pt idx="14">
                  <c:v>3.155235355772068E-2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0D8-49BB-975D-8A3C933F0F91}"/>
            </c:ext>
          </c:extLst>
        </c:ser>
        <c:ser>
          <c:idx val="1"/>
          <c:order val="1"/>
          <c:tx>
            <c:strRef>
              <c:f>'Results SimaPro (GF)'!$AG$35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(GF)'!$B$24:$B$38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SimaPro (GF)'!$AG$38,'Results SimaPro (GF)'!$AG$41,'Results SimaPro (GF)'!$AG$44,'Results SimaPro (GF)'!$AG$47,'Results SimaPro (GF)'!$AG$50,'Results SimaPro (GF)'!$AG$53,'Results SimaPro (GF)'!$AG$56,'Results SimaPro (GF)'!$AG$59,'Results SimaPro (GF)'!$AG$62,'Results SimaPro (GF)'!$AG$65,'Results SimaPro (GF)'!$AG$68,'Results SimaPro (GF)'!$AG$71,'Results SimaPro (GF)'!$AG$74,'Results SimaPro (GF)'!$AG$77,'Results SimaPro (GF)'!$AG$80)</c:f>
              <c:numCache>
                <c:formatCode>0.0%</c:formatCode>
                <c:ptCount val="15"/>
                <c:pt idx="0">
                  <c:v>0.17051016752454812</c:v>
                </c:pt>
                <c:pt idx="1">
                  <c:v>0.42951504426232284</c:v>
                </c:pt>
                <c:pt idx="2">
                  <c:v>0.22634052670571514</c:v>
                </c:pt>
                <c:pt idx="3">
                  <c:v>6.4219857454404033E-2</c:v>
                </c:pt>
                <c:pt idx="4">
                  <c:v>8.5801800457406166E-2</c:v>
                </c:pt>
                <c:pt idx="5">
                  <c:v>0.11005885969849027</c:v>
                </c:pt>
                <c:pt idx="6">
                  <c:v>0.14340665255210933</c:v>
                </c:pt>
                <c:pt idx="7">
                  <c:v>8.3302414456966192E-2</c:v>
                </c:pt>
                <c:pt idx="8">
                  <c:v>0.22880145814578837</c:v>
                </c:pt>
                <c:pt idx="9">
                  <c:v>0.41872452812976724</c:v>
                </c:pt>
                <c:pt idx="10">
                  <c:v>0.25807931613156265</c:v>
                </c:pt>
                <c:pt idx="11">
                  <c:v>0.58954025527731291</c:v>
                </c:pt>
                <c:pt idx="12">
                  <c:v>0.14677485776666555</c:v>
                </c:pt>
                <c:pt idx="13">
                  <c:v>0.11081845188017007</c:v>
                </c:pt>
                <c:pt idx="14">
                  <c:v>0.29999034023155846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0D8-49BB-975D-8A3C933F0F91}"/>
            </c:ext>
          </c:extLst>
        </c:ser>
        <c:ser>
          <c:idx val="2"/>
          <c:order val="2"/>
          <c:tx>
            <c:strRef>
              <c:f>'Results SimaPro (GF)'!$AH$35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(GF)'!$B$24:$B$38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SimaPro (GF)'!$AH$38,'Results SimaPro (GF)'!$AH$41,'Results SimaPro (GF)'!$AH$44,'Results SimaPro (GF)'!$AH$47,'Results SimaPro (GF)'!$AH$50,'Results SimaPro (GF)'!$AH$53,'Results SimaPro (GF)'!$AH$56,'Results SimaPro (GF)'!$AH$59,'Results SimaPro (GF)'!$AH$62,'Results SimaPro (GF)'!$AH$65,'Results SimaPro (GF)'!$AH$68,'Results SimaPro (GF)'!$AH$71,'Results SimaPro (GF)'!$AH$74,'Results SimaPro (GF)'!$AH$77,'Results SimaPro (GF)'!$AH$80)</c:f>
              <c:numCache>
                <c:formatCode>0.0%</c:formatCode>
                <c:ptCount val="15"/>
                <c:pt idx="0">
                  <c:v>1.2204415828697355E-2</c:v>
                </c:pt>
                <c:pt idx="1">
                  <c:v>2.6667948711413527E-3</c:v>
                </c:pt>
                <c:pt idx="2">
                  <c:v>1.5853674537351974E-2</c:v>
                </c:pt>
                <c:pt idx="3">
                  <c:v>2.7334427166523477E-2</c:v>
                </c:pt>
                <c:pt idx="4">
                  <c:v>1.0098896007125168E-2</c:v>
                </c:pt>
                <c:pt idx="5">
                  <c:v>3.8707330525589228E-3</c:v>
                </c:pt>
                <c:pt idx="6">
                  <c:v>7.5409932750536051E-3</c:v>
                </c:pt>
                <c:pt idx="7">
                  <c:v>3.2817782234295114E-3</c:v>
                </c:pt>
                <c:pt idx="8">
                  <c:v>1.6390252148289795E-2</c:v>
                </c:pt>
                <c:pt idx="9">
                  <c:v>3.607901771050654E-3</c:v>
                </c:pt>
                <c:pt idx="10">
                  <c:v>1.7031971687385846E-2</c:v>
                </c:pt>
                <c:pt idx="11">
                  <c:v>3.7450916280885368E-3</c:v>
                </c:pt>
                <c:pt idx="12">
                  <c:v>1.0615627654391595E-2</c:v>
                </c:pt>
                <c:pt idx="13">
                  <c:v>1.3190309294202243E-2</c:v>
                </c:pt>
                <c:pt idx="14">
                  <c:v>2.5925011650260094E-3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0D8-49BB-975D-8A3C933F0F91}"/>
            </c:ext>
          </c:extLst>
        </c:ser>
        <c:ser>
          <c:idx val="3"/>
          <c:order val="3"/>
          <c:tx>
            <c:strRef>
              <c:f>'Results SimaPro (GF)'!$AI$35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(GF)'!$B$24:$B$38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SimaPro (GF)'!$AI$38,'Results SimaPro (GF)'!$AI$41,'Results SimaPro (GF)'!$AI$44,'Results SimaPro (GF)'!$AI$47,'Results SimaPro (GF)'!$AI$50,'Results SimaPro (GF)'!$AI$53,'Results SimaPro (GF)'!$AI$56,'Results SimaPro (GF)'!$AI$59,'Results SimaPro (GF)'!$AI$62,'Results SimaPro (GF)'!$AI$65,'Results SimaPro (GF)'!$AI$68,'Results SimaPro (GF)'!$AI$71,'Results SimaPro (GF)'!$AI$74,'Results SimaPro (GF)'!$AI$77,'Results SimaPro (GF)'!$AI$80)</c:f>
              <c:numCache>
                <c:formatCode>0.0%</c:formatCode>
                <c:ptCount val="15"/>
                <c:pt idx="0">
                  <c:v>2.9734692498787765E-2</c:v>
                </c:pt>
                <c:pt idx="1">
                  <c:v>6.1079030233733705E-3</c:v>
                </c:pt>
                <c:pt idx="2">
                  <c:v>2.2906666209957547E-2</c:v>
                </c:pt>
                <c:pt idx="3">
                  <c:v>0.11834145644609917</c:v>
                </c:pt>
                <c:pt idx="4">
                  <c:v>4.1836339387958145E-2</c:v>
                </c:pt>
                <c:pt idx="5">
                  <c:v>1.2133696513604585E-2</c:v>
                </c:pt>
                <c:pt idx="6">
                  <c:v>2.70987932818216E-2</c:v>
                </c:pt>
                <c:pt idx="7">
                  <c:v>1.167549417399478E-2</c:v>
                </c:pt>
                <c:pt idx="8">
                  <c:v>5.5441495649178101E-2</c:v>
                </c:pt>
                <c:pt idx="9">
                  <c:v>1.2024261599737589E-2</c:v>
                </c:pt>
                <c:pt idx="10">
                  <c:v>5.8069149826084375E-2</c:v>
                </c:pt>
                <c:pt idx="11">
                  <c:v>8.3852344639425928E-3</c:v>
                </c:pt>
                <c:pt idx="12">
                  <c:v>3.2540702306905214E-2</c:v>
                </c:pt>
                <c:pt idx="13">
                  <c:v>4.8201298900768276E-2</c:v>
                </c:pt>
                <c:pt idx="14">
                  <c:v>8.6521464869871809E-3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0D8-49BB-975D-8A3C933F0F91}"/>
            </c:ext>
          </c:extLst>
        </c:ser>
        <c:ser>
          <c:idx val="4"/>
          <c:order val="4"/>
          <c:tx>
            <c:strRef>
              <c:f>'Results SimaPro (GF)'!$AJ$35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(GF)'!$B$24:$B$38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SimaPro (GF)'!$AJ$38,'Results SimaPro (GF)'!$AJ$41,'Results SimaPro (GF)'!$AJ$44,'Results SimaPro (GF)'!$AJ$47,'Results SimaPro (GF)'!$AJ$50,'Results SimaPro (GF)'!$AJ$53,'Results SimaPro (GF)'!$AJ$56,'Results SimaPro (GF)'!$AJ$59,'Results SimaPro (GF)'!$AJ$62,'Results SimaPro (GF)'!$AJ$65,'Results SimaPro (GF)'!$AJ$68,'Results SimaPro (GF)'!$AJ$71,'Results SimaPro (GF)'!$AJ$74,'Results SimaPro (GF)'!$AJ$77,'Results SimaPro (GF)'!$AJ$80)</c:f>
              <c:numCache>
                <c:formatCode>0.0%</c:formatCode>
                <c:ptCount val="15"/>
                <c:pt idx="0">
                  <c:v>0.75733500116591312</c:v>
                </c:pt>
                <c:pt idx="1">
                  <c:v>0.51994229456711716</c:v>
                </c:pt>
                <c:pt idx="2">
                  <c:v>0.69695730990366245</c:v>
                </c:pt>
                <c:pt idx="3">
                  <c:v>1.1447460590099443</c:v>
                </c:pt>
                <c:pt idx="4">
                  <c:v>0.79438250272413025</c:v>
                </c:pt>
                <c:pt idx="5">
                  <c:v>0.79897072252533241</c:v>
                </c:pt>
                <c:pt idx="6">
                  <c:v>0.76057797780649961</c:v>
                </c:pt>
                <c:pt idx="7">
                  <c:v>0.82106106881392205</c:v>
                </c:pt>
                <c:pt idx="8">
                  <c:v>0.6632088671917562</c:v>
                </c:pt>
                <c:pt idx="9">
                  <c:v>0.51832308355654244</c:v>
                </c:pt>
                <c:pt idx="10">
                  <c:v>0.63642023495990885</c:v>
                </c:pt>
                <c:pt idx="11">
                  <c:v>0.37973073414447883</c:v>
                </c:pt>
                <c:pt idx="12">
                  <c:v>0.76008059932129757</c:v>
                </c:pt>
                <c:pt idx="13">
                  <c:v>0.77675910748665511</c:v>
                </c:pt>
                <c:pt idx="14">
                  <c:v>0.6572126585587077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0D8-49BB-975D-8A3C933F0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5537487"/>
        <c:axId val="1664588207"/>
      </c:barChart>
      <c:catAx>
        <c:axId val="83553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4588207"/>
        <c:crosses val="autoZero"/>
        <c:auto val="1"/>
        <c:lblAlgn val="ctr"/>
        <c:lblOffset val="100"/>
        <c:noMultiLvlLbl val="0"/>
      </c:catAx>
      <c:valAx>
        <c:axId val="16645882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553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Flue gas - MEA (GF)'!$N$4</c:f>
              <c:strCache>
                <c:ptCount val="1"/>
                <c:pt idx="0">
                  <c:v>Biostimulant delivery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(GF)'!$L$5:$L$19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MEA (GF)'!$N$5:$N$19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FB-4E35-A170-F22EB0F6BF72}"/>
            </c:ext>
          </c:extLst>
        </c:ser>
        <c:ser>
          <c:idx val="1"/>
          <c:order val="1"/>
          <c:tx>
            <c:strRef>
              <c:f>'Results Flue gas - MEA (GF)'!$O$4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(GF)'!$L$5:$L$19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MEA (GF)'!$O$5:$O$19</c:f>
              <c:numCache>
                <c:formatCode>0%</c:formatCode>
                <c:ptCount val="15"/>
                <c:pt idx="0">
                  <c:v>0.96823994837442517</c:v>
                </c:pt>
                <c:pt idx="1">
                  <c:v>0.95844996535075933</c:v>
                </c:pt>
                <c:pt idx="2">
                  <c:v>0.96291470011670977</c:v>
                </c:pt>
                <c:pt idx="3">
                  <c:v>0.97697445401138894</c:v>
                </c:pt>
                <c:pt idx="4">
                  <c:v>0.95463777928162585</c:v>
                </c:pt>
                <c:pt idx="5">
                  <c:v>0.93889559632805863</c:v>
                </c:pt>
                <c:pt idx="6">
                  <c:v>0.94422790693104397</c:v>
                </c:pt>
                <c:pt idx="7">
                  <c:v>0.91899250271668487</c:v>
                </c:pt>
                <c:pt idx="8">
                  <c:v>0.96638636175062098</c:v>
                </c:pt>
                <c:pt idx="9">
                  <c:v>0.95189652666763547</c:v>
                </c:pt>
                <c:pt idx="10">
                  <c:v>0.97167325417735828</c:v>
                </c:pt>
                <c:pt idx="11">
                  <c:v>0.98168619039762417</c:v>
                </c:pt>
                <c:pt idx="12">
                  <c:v>0.94466523991932561</c:v>
                </c:pt>
                <c:pt idx="13">
                  <c:v>0.95982356501658794</c:v>
                </c:pt>
                <c:pt idx="14">
                  <c:v>0.9526586954408478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FB-4E35-A170-F22EB0F6BF72}"/>
            </c:ext>
          </c:extLst>
        </c:ser>
        <c:ser>
          <c:idx val="2"/>
          <c:order val="2"/>
          <c:tx>
            <c:strRef>
              <c:f>'Results Flue gas - MEA (GF)'!$P$4</c:f>
              <c:strCache>
                <c:ptCount val="1"/>
                <c:pt idx="0">
                  <c:v>Final tank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(GF)'!$L$5:$L$19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MEA (GF)'!$P$5:$P$19</c:f>
              <c:numCache>
                <c:formatCode>0%</c:formatCode>
                <c:ptCount val="15"/>
                <c:pt idx="0">
                  <c:v>1.6872518462561169E-8</c:v>
                </c:pt>
                <c:pt idx="1">
                  <c:v>2.0902366265628261E-7</c:v>
                </c:pt>
                <c:pt idx="2">
                  <c:v>7.1567984468133832E-8</c:v>
                </c:pt>
                <c:pt idx="3">
                  <c:v>2.2720336139799742E-6</c:v>
                </c:pt>
                <c:pt idx="4">
                  <c:v>7.3662830060880058E-13</c:v>
                </c:pt>
                <c:pt idx="5">
                  <c:v>2.8386921545231146E-6</c:v>
                </c:pt>
                <c:pt idx="6">
                  <c:v>2.4319966016157514E-5</c:v>
                </c:pt>
                <c:pt idx="7">
                  <c:v>1.0006807251803903E-8</c:v>
                </c:pt>
                <c:pt idx="8">
                  <c:v>1.9957979210067175E-7</c:v>
                </c:pt>
                <c:pt idx="9">
                  <c:v>0</c:v>
                </c:pt>
                <c:pt idx="10">
                  <c:v>2.1529230925890488E-6</c:v>
                </c:pt>
                <c:pt idx="11">
                  <c:v>0</c:v>
                </c:pt>
                <c:pt idx="12">
                  <c:v>7.245490675109391E-11</c:v>
                </c:pt>
                <c:pt idx="13">
                  <c:v>2.7365756137411143E-4</c:v>
                </c:pt>
                <c:pt idx="14">
                  <c:v>1.1665208515602217E-2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FB-4E35-A170-F22EB0F6BF72}"/>
            </c:ext>
          </c:extLst>
        </c:ser>
        <c:ser>
          <c:idx val="3"/>
          <c:order val="3"/>
          <c:tx>
            <c:strRef>
              <c:f>'Results Flue gas - MEA (GF)'!$Q$4</c:f>
              <c:strCache>
                <c:ptCount val="1"/>
                <c:pt idx="0">
                  <c:v>Transport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(GF)'!$L$5:$L$19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MEA (GF)'!$Q$5:$Q$19</c:f>
              <c:numCache>
                <c:formatCode>0%</c:formatCode>
                <c:ptCount val="15"/>
                <c:pt idx="0">
                  <c:v>3.1760034753056318E-2</c:v>
                </c:pt>
                <c:pt idx="1">
                  <c:v>4.154982562557813E-2</c:v>
                </c:pt>
                <c:pt idx="2">
                  <c:v>3.7085228315305717E-2</c:v>
                </c:pt>
                <c:pt idx="3">
                  <c:v>2.3023273954997071E-2</c:v>
                </c:pt>
                <c:pt idx="4">
                  <c:v>4.5362220717637534E-2</c:v>
                </c:pt>
                <c:pt idx="5">
                  <c:v>6.1101564979786943E-2</c:v>
                </c:pt>
                <c:pt idx="6">
                  <c:v>5.5747773102939865E-2</c:v>
                </c:pt>
                <c:pt idx="7">
                  <c:v>8.1007487276507778E-2</c:v>
                </c:pt>
                <c:pt idx="8">
                  <c:v>3.3613438669586819E-2</c:v>
                </c:pt>
                <c:pt idx="9">
                  <c:v>4.8103473332364484E-2</c:v>
                </c:pt>
                <c:pt idx="10">
                  <c:v>2.8324592899549136E-2</c:v>
                </c:pt>
                <c:pt idx="11">
                  <c:v>1.8313809602375847E-2</c:v>
                </c:pt>
                <c:pt idx="12">
                  <c:v>5.5334760008219401E-2</c:v>
                </c:pt>
                <c:pt idx="13">
                  <c:v>3.9902777422037926E-2</c:v>
                </c:pt>
                <c:pt idx="14">
                  <c:v>3.5676096043550112E-2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FB-4E35-A170-F22EB0F6BF72}"/>
            </c:ext>
          </c:extLst>
        </c:ser>
        <c:ser>
          <c:idx val="4"/>
          <c:order val="4"/>
          <c:tx>
            <c:strRef>
              <c:f>'Results Flue gas - MEA (GF)'!$R$4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(GF)'!$L$5:$L$19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MEA (GF)'!$R$5:$R$19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4-ECFB-4E35-A170-F22EB0F6BF72}"/>
            </c:ext>
          </c:extLst>
        </c:ser>
        <c:ser>
          <c:idx val="5"/>
          <c:order val="5"/>
          <c:tx>
            <c:strRef>
              <c:f>'Results Flue gas - MEA (GF)'!$S$4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(GF)'!$L$5:$L$19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MEA (GF)'!$S$5:$S$19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5-ECFB-4E35-A170-F22EB0F6B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6114735"/>
        <c:axId val="1862555151"/>
      </c:barChart>
      <c:catAx>
        <c:axId val="1526114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55151"/>
        <c:crosses val="autoZero"/>
        <c:auto val="1"/>
        <c:lblAlgn val="ctr"/>
        <c:lblOffset val="100"/>
        <c:noMultiLvlLbl val="0"/>
      </c:catAx>
      <c:valAx>
        <c:axId val="186255515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6114735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Flue gas - MEA (GF)'!$N$23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MEA (GF)'!$N$24:$N$38</c:f>
              <c:numCache>
                <c:formatCode>0%</c:formatCode>
                <c:ptCount val="15"/>
                <c:pt idx="0">
                  <c:v>0.82216415221732209</c:v>
                </c:pt>
                <c:pt idx="1">
                  <c:v>0.54367232946931465</c:v>
                </c:pt>
                <c:pt idx="2">
                  <c:v>0.77243560163660796</c:v>
                </c:pt>
                <c:pt idx="3">
                  <c:v>0.95710960802536893</c:v>
                </c:pt>
                <c:pt idx="4">
                  <c:v>0.94007329846672116</c:v>
                </c:pt>
                <c:pt idx="5">
                  <c:v>0.90387360807670647</c:v>
                </c:pt>
                <c:pt idx="6">
                  <c:v>0.86227903548215357</c:v>
                </c:pt>
                <c:pt idx="7">
                  <c:v>0.9117281087563156</c:v>
                </c:pt>
                <c:pt idx="8">
                  <c:v>0.77691048877756375</c:v>
                </c:pt>
                <c:pt idx="9">
                  <c:v>0.53976491798147697</c:v>
                </c:pt>
                <c:pt idx="10">
                  <c:v>0.75069852656894853</c:v>
                </c:pt>
                <c:pt idx="11">
                  <c:v>0.36410793589456303</c:v>
                </c:pt>
                <c:pt idx="12">
                  <c:v>0.83524456356416732</c:v>
                </c:pt>
                <c:pt idx="13">
                  <c:v>0.91209261547522158</c:v>
                </c:pt>
                <c:pt idx="14">
                  <c:v>0.50339867575631203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4A-43B8-B6EA-1324DC0091BE}"/>
            </c:ext>
          </c:extLst>
        </c:ser>
        <c:ser>
          <c:idx val="1"/>
          <c:order val="1"/>
          <c:tx>
            <c:strRef>
              <c:f>'Results Flue gas - MEA (GF)'!$O$23</c:f>
              <c:strCache>
                <c:ptCount val="1"/>
                <c:pt idx="0">
                  <c:v>Phosphate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MEA (GF)'!$O$24:$O$38</c:f>
              <c:numCache>
                <c:formatCode>0%</c:formatCode>
                <c:ptCount val="15"/>
                <c:pt idx="0">
                  <c:v>0.17428659293483226</c:v>
                </c:pt>
                <c:pt idx="1">
                  <c:v>0.45548597520237333</c:v>
                </c:pt>
                <c:pt idx="2">
                  <c:v>0.21954301741362686</c:v>
                </c:pt>
                <c:pt idx="3">
                  <c:v>3.7495576315455123E-2</c:v>
                </c:pt>
                <c:pt idx="4">
                  <c:v>5.7935083880184091E-2</c:v>
                </c:pt>
                <c:pt idx="5">
                  <c:v>7.5060960798104856E-2</c:v>
                </c:pt>
                <c:pt idx="6">
                  <c:v>0.13569940932959867</c:v>
                </c:pt>
                <c:pt idx="7">
                  <c:v>8.7266631063625463E-2</c:v>
                </c:pt>
                <c:pt idx="8">
                  <c:v>0.21304392544457817</c:v>
                </c:pt>
                <c:pt idx="9">
                  <c:v>0.45907674829962947</c:v>
                </c:pt>
                <c:pt idx="10">
                  <c:v>0.23893807068068035</c:v>
                </c:pt>
                <c:pt idx="11">
                  <c:v>0.54902031197061862</c:v>
                </c:pt>
                <c:pt idx="12">
                  <c:v>0.13660070247186198</c:v>
                </c:pt>
                <c:pt idx="13">
                  <c:v>6.8098059147656265E-2</c:v>
                </c:pt>
                <c:pt idx="14">
                  <c:v>0.49334314615847974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4A-43B8-B6EA-1324DC0091BE}"/>
            </c:ext>
          </c:extLst>
        </c:ser>
        <c:ser>
          <c:idx val="2"/>
          <c:order val="2"/>
          <c:tx>
            <c:strRef>
              <c:f>'Results Flue gas - MEA (GF)'!$P$23</c:f>
              <c:strCache>
                <c:ptCount val="1"/>
                <c:pt idx="0">
                  <c:v>Enzyme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MEA (GF)'!$P$24:$P$38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5.6916004786331561E-4</c:v>
                </c:pt>
                <c:pt idx="3">
                  <c:v>0</c:v>
                </c:pt>
                <c:pt idx="4">
                  <c:v>0</c:v>
                </c:pt>
                <c:pt idx="5">
                  <c:v>6.0268550767145464E-3</c:v>
                </c:pt>
                <c:pt idx="6">
                  <c:v>5.2718681872092437E-11</c:v>
                </c:pt>
                <c:pt idx="7">
                  <c:v>4.1886337953588938E-10</c:v>
                </c:pt>
                <c:pt idx="8">
                  <c:v>4.6936757723200866E-4</c:v>
                </c:pt>
                <c:pt idx="9">
                  <c:v>0</c:v>
                </c:pt>
                <c:pt idx="10">
                  <c:v>1.4083708925578548E-3</c:v>
                </c:pt>
                <c:pt idx="11">
                  <c:v>8.5750262857292148E-2</c:v>
                </c:pt>
                <c:pt idx="12">
                  <c:v>5.9934841439344706E-3</c:v>
                </c:pt>
                <c:pt idx="13">
                  <c:v>3.0334492955875004E-3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4A-43B8-B6EA-1324DC0091BE}"/>
            </c:ext>
          </c:extLst>
        </c:ser>
        <c:ser>
          <c:idx val="3"/>
          <c:order val="3"/>
          <c:tx>
            <c:strRef>
              <c:f>'Results Flue gas - MEA (GF)'!$Q$23</c:f>
              <c:strCache>
                <c:ptCount val="1"/>
                <c:pt idx="0">
                  <c:v>Reactor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MEA (GF)'!$Q$24:$Q$38</c:f>
              <c:numCache>
                <c:formatCode>0%</c:formatCode>
                <c:ptCount val="15"/>
                <c:pt idx="0">
                  <c:v>2.9025895214480636E-9</c:v>
                </c:pt>
                <c:pt idx="1">
                  <c:v>3.6354393431906016E-8</c:v>
                </c:pt>
                <c:pt idx="2">
                  <c:v>1.2396015625879681E-8</c:v>
                </c:pt>
                <c:pt idx="3">
                  <c:v>2.8468967743416213E-7</c:v>
                </c:pt>
                <c:pt idx="4">
                  <c:v>1.2872400794633927E-13</c:v>
                </c:pt>
                <c:pt idx="5">
                  <c:v>5.0394419330188017E-7</c:v>
                </c:pt>
                <c:pt idx="6">
                  <c:v>4.2934339585175193E-6</c:v>
                </c:pt>
                <c:pt idx="7">
                  <c:v>1.8175386227728434E-9</c:v>
                </c:pt>
                <c:pt idx="8">
                  <c:v>3.4395272417526791E-8</c:v>
                </c:pt>
                <c:pt idx="9">
                  <c:v>0</c:v>
                </c:pt>
                <c:pt idx="10">
                  <c:v>3.6826065192153015E-7</c:v>
                </c:pt>
                <c:pt idx="11">
                  <c:v>0</c:v>
                </c:pt>
                <c:pt idx="12">
                  <c:v>1.2811066716627491E-11</c:v>
                </c:pt>
                <c:pt idx="13">
                  <c:v>4.7560472038813668E-5</c:v>
                </c:pt>
                <c:pt idx="14">
                  <c:v>2.0435072045875279E-3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4A-43B8-B6EA-1324DC0091BE}"/>
            </c:ext>
          </c:extLst>
        </c:ser>
        <c:ser>
          <c:idx val="4"/>
          <c:order val="4"/>
          <c:tx>
            <c:strRef>
              <c:f>'Results Flue gas - MEA (GF)'!$R$23</c:f>
              <c:strCache>
                <c:ptCount val="1"/>
                <c:pt idx="0">
                  <c:v>Steam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MEA (GF)'!$R$24:$R$38</c:f>
              <c:numCache>
                <c:formatCode>0%</c:formatCode>
                <c:ptCount val="15"/>
                <c:pt idx="0">
                  <c:v>2.7168872800211744E-5</c:v>
                </c:pt>
                <c:pt idx="1">
                  <c:v>6.4318686681694311E-5</c:v>
                </c:pt>
                <c:pt idx="2">
                  <c:v>3.0426235955798037E-3</c:v>
                </c:pt>
                <c:pt idx="3">
                  <c:v>9.8299085870006135E-5</c:v>
                </c:pt>
                <c:pt idx="4">
                  <c:v>2.8028993828707846E-5</c:v>
                </c:pt>
                <c:pt idx="5">
                  <c:v>1.4107020334015204E-2</c:v>
                </c:pt>
                <c:pt idx="6">
                  <c:v>1.8332085107528504E-5</c:v>
                </c:pt>
                <c:pt idx="7">
                  <c:v>4.7034043625113712E-5</c:v>
                </c:pt>
                <c:pt idx="8">
                  <c:v>5.1541411328455827E-3</c:v>
                </c:pt>
                <c:pt idx="9">
                  <c:v>6.9993402172063588E-5</c:v>
                </c:pt>
                <c:pt idx="10">
                  <c:v>4.4054765465779307E-3</c:v>
                </c:pt>
                <c:pt idx="11">
                  <c:v>1.3153145661288825E-5</c:v>
                </c:pt>
                <c:pt idx="12">
                  <c:v>1.8863711272863157E-2</c:v>
                </c:pt>
                <c:pt idx="13">
                  <c:v>1.3815047348198337E-2</c:v>
                </c:pt>
                <c:pt idx="14">
                  <c:v>3.6849347843600839E-5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4A-43B8-B6EA-1324DC0091BE}"/>
            </c:ext>
          </c:extLst>
        </c:ser>
        <c:ser>
          <c:idx val="5"/>
          <c:order val="5"/>
          <c:tx>
            <c:strRef>
              <c:f>'Results Flue gas - MEA (GF)'!$S$23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MEA (GF)'!$S$24:$S$38</c:f>
              <c:numCache>
                <c:formatCode>0%</c:formatCode>
                <c:ptCount val="15"/>
                <c:pt idx="0">
                  <c:v>3.5220830724559584E-3</c:v>
                </c:pt>
                <c:pt idx="1">
                  <c:v>7.7734028723686435E-4</c:v>
                </c:pt>
                <c:pt idx="2">
                  <c:v>4.4095849103063956E-3</c:v>
                </c:pt>
                <c:pt idx="3">
                  <c:v>5.2962318836285785E-3</c:v>
                </c:pt>
                <c:pt idx="4">
                  <c:v>1.9635886591372275E-3</c:v>
                </c:pt>
                <c:pt idx="5">
                  <c:v>9.3105177026543446E-4</c:v>
                </c:pt>
                <c:pt idx="6">
                  <c:v>1.9989296164630759E-3</c:v>
                </c:pt>
                <c:pt idx="7">
                  <c:v>9.5822390003186665E-4</c:v>
                </c:pt>
                <c:pt idx="8">
                  <c:v>4.4220426725079323E-3</c:v>
                </c:pt>
                <c:pt idx="9">
                  <c:v>1.0883403167214465E-3</c:v>
                </c:pt>
                <c:pt idx="10">
                  <c:v>4.5491870505835301E-3</c:v>
                </c:pt>
                <c:pt idx="11">
                  <c:v>1.1083361318649466E-3</c:v>
                </c:pt>
                <c:pt idx="12">
                  <c:v>3.2975385343621878E-3</c:v>
                </c:pt>
                <c:pt idx="13">
                  <c:v>2.9132682612974655E-3</c:v>
                </c:pt>
                <c:pt idx="14">
                  <c:v>1.1778215327771944E-3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34A-43B8-B6EA-1324DC009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2589263"/>
        <c:axId val="1862564271"/>
      </c:barChart>
      <c:catAx>
        <c:axId val="1422589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64271"/>
        <c:crosses val="autoZero"/>
        <c:auto val="1"/>
        <c:lblAlgn val="ctr"/>
        <c:lblOffset val="100"/>
        <c:noMultiLvlLbl val="0"/>
      </c:catAx>
      <c:valAx>
        <c:axId val="186256427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22589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Flue gas - MEA (GF)'!$K$42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(GF)'!$H$43:$H$57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MEA (GF)'!$K$43:$K$57</c:f>
              <c:numCache>
                <c:formatCode>0%</c:formatCode>
                <c:ptCount val="15"/>
                <c:pt idx="0">
                  <c:v>1.0617406845649553E-2</c:v>
                </c:pt>
                <c:pt idx="1">
                  <c:v>3.5436542517293746E-3</c:v>
                </c:pt>
                <c:pt idx="2">
                  <c:v>1.414861161616237E-2</c:v>
                </c:pt>
                <c:pt idx="3">
                  <c:v>1.3714584899544599E-2</c:v>
                </c:pt>
                <c:pt idx="4">
                  <c:v>5.1766897984896259E-3</c:v>
                </c:pt>
                <c:pt idx="5">
                  <c:v>2.5528800650182759E-3</c:v>
                </c:pt>
                <c:pt idx="6">
                  <c:v>5.7454894129028008E-3</c:v>
                </c:pt>
                <c:pt idx="7">
                  <c:v>2.6048277503302841E-3</c:v>
                </c:pt>
                <c:pt idx="8">
                  <c:v>1.4106827201381384E-2</c:v>
                </c:pt>
                <c:pt idx="9">
                  <c:v>4.997321195031771E-3</c:v>
                </c:pt>
                <c:pt idx="10">
                  <c:v>1.5019163132865306E-2</c:v>
                </c:pt>
                <c:pt idx="11">
                  <c:v>7.5442506096114791E-3</c:v>
                </c:pt>
                <c:pt idx="12">
                  <c:v>9.784836565121139E-3</c:v>
                </c:pt>
                <c:pt idx="13">
                  <c:v>7.916238859212707E-3</c:v>
                </c:pt>
                <c:pt idx="14">
                  <c:v>5.7988901483202945E-3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14-465D-9EE2-6735D084C9B8}"/>
            </c:ext>
          </c:extLst>
        </c:ser>
        <c:ser>
          <c:idx val="1"/>
          <c:order val="1"/>
          <c:tx>
            <c:strRef>
              <c:f>'Results Flue gas - MEA (GF)'!$J$42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(GF)'!$H$43:$H$57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MEA (GF)'!$J$43:$J$57</c:f>
              <c:numCache>
                <c:formatCode>0%</c:formatCode>
                <c:ptCount val="15"/>
                <c:pt idx="0">
                  <c:v>0.9893825931543504</c:v>
                </c:pt>
                <c:pt idx="1">
                  <c:v>0.99645634574827058</c:v>
                </c:pt>
                <c:pt idx="2">
                  <c:v>0.98585138838383768</c:v>
                </c:pt>
                <c:pt idx="3">
                  <c:v>0.98628541510045531</c:v>
                </c:pt>
                <c:pt idx="4">
                  <c:v>0.99482331020151038</c:v>
                </c:pt>
                <c:pt idx="5">
                  <c:v>0.99744711993498159</c:v>
                </c:pt>
                <c:pt idx="6">
                  <c:v>0.99425451058709724</c:v>
                </c:pt>
                <c:pt idx="7">
                  <c:v>0.99739517224966978</c:v>
                </c:pt>
                <c:pt idx="8">
                  <c:v>0.98589317279861866</c:v>
                </c:pt>
                <c:pt idx="9">
                  <c:v>0.99500267880496818</c:v>
                </c:pt>
                <c:pt idx="10">
                  <c:v>0.98498083686713478</c:v>
                </c:pt>
                <c:pt idx="11">
                  <c:v>0.9924557493903885</c:v>
                </c:pt>
                <c:pt idx="12">
                  <c:v>0.99021516343487892</c:v>
                </c:pt>
                <c:pt idx="13">
                  <c:v>0.99208376114078722</c:v>
                </c:pt>
                <c:pt idx="14">
                  <c:v>0.99420110985167964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14-465D-9EE2-6735D084C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6114735"/>
        <c:axId val="1862555151"/>
      </c:barChart>
      <c:catAx>
        <c:axId val="1526114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55151"/>
        <c:crosses val="autoZero"/>
        <c:auto val="1"/>
        <c:lblAlgn val="ctr"/>
        <c:lblOffset val="100"/>
        <c:noMultiLvlLbl val="0"/>
      </c:catAx>
      <c:valAx>
        <c:axId val="186255515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6114735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68A-4AE5-9125-07C2F63964E1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68A-4AE5-9125-07C2F63964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'Scenario 2'!$W$114:$W$115</c:f>
              <c:numCache>
                <c:formatCode>0%</c:formatCode>
                <c:ptCount val="2"/>
                <c:pt idx="0">
                  <c:v>0.83673426915526494</c:v>
                </c:pt>
                <c:pt idx="1">
                  <c:v>0.16326573084473506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168A-4AE5-9125-07C2F63964E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Flue gas - MEA (GF)'!$L$61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(GF)'!$I$62:$I$76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MEA (GF)'!$L$62:$L$76</c:f>
              <c:numCache>
                <c:formatCode>0%</c:formatCode>
                <c:ptCount val="15"/>
                <c:pt idx="0">
                  <c:v>4.8898103590414327E-2</c:v>
                </c:pt>
                <c:pt idx="1">
                  <c:v>1.6578134521227233E-2</c:v>
                </c:pt>
                <c:pt idx="2">
                  <c:v>6.3368888990109812E-2</c:v>
                </c:pt>
                <c:pt idx="3">
                  <c:v>6.5124746447408441E-2</c:v>
                </c:pt>
                <c:pt idx="4">
                  <c:v>2.4457704058224273E-2</c:v>
                </c:pt>
                <c:pt idx="5">
                  <c:v>1.2011283121879872E-2</c:v>
                </c:pt>
                <c:pt idx="6">
                  <c:v>2.7022006819970971E-2</c:v>
                </c:pt>
                <c:pt idx="7">
                  <c:v>1.227458854421937E-2</c:v>
                </c:pt>
                <c:pt idx="8">
                  <c:v>6.5699257573987146E-2</c:v>
                </c:pt>
                <c:pt idx="9">
                  <c:v>2.3469938189470185E-2</c:v>
                </c:pt>
                <c:pt idx="10">
                  <c:v>6.992812656581042E-2</c:v>
                </c:pt>
                <c:pt idx="11">
                  <c:v>3.491704320422797E-2</c:v>
                </c:pt>
                <c:pt idx="12">
                  <c:v>4.5553668221354669E-2</c:v>
                </c:pt>
                <c:pt idx="13">
                  <c:v>3.7204593868842555E-2</c:v>
                </c:pt>
                <c:pt idx="14">
                  <c:v>2.7212935015525637E-2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A9-4977-800B-FB4B4BBBB2DD}"/>
            </c:ext>
          </c:extLst>
        </c:ser>
        <c:ser>
          <c:idx val="1"/>
          <c:order val="1"/>
          <c:tx>
            <c:strRef>
              <c:f>'Results Flue gas - MEA (GF)'!$K$61</c:f>
              <c:strCache>
                <c:ptCount val="1"/>
                <c:pt idx="0">
                  <c:v>Biomass cultivation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(GF)'!$I$62:$I$76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MEA (GF)'!$K$62:$K$76</c:f>
              <c:numCache>
                <c:formatCode>0%</c:formatCode>
                <c:ptCount val="15"/>
                <c:pt idx="0">
                  <c:v>0.95110189640958565</c:v>
                </c:pt>
                <c:pt idx="1">
                  <c:v>0.98342186547877264</c:v>
                </c:pt>
                <c:pt idx="2">
                  <c:v>0.93663111100989027</c:v>
                </c:pt>
                <c:pt idx="3">
                  <c:v>0.93487525355259149</c:v>
                </c:pt>
                <c:pt idx="4">
                  <c:v>0.97554229594177577</c:v>
                </c:pt>
                <c:pt idx="5">
                  <c:v>0.98798871687812007</c:v>
                </c:pt>
                <c:pt idx="6">
                  <c:v>0.97297799318002909</c:v>
                </c:pt>
                <c:pt idx="7">
                  <c:v>0.98772541145578063</c:v>
                </c:pt>
                <c:pt idx="8">
                  <c:v>0.93430074242601291</c:v>
                </c:pt>
                <c:pt idx="9">
                  <c:v>0.97653006181052981</c:v>
                </c:pt>
                <c:pt idx="10">
                  <c:v>0.93007187343418962</c:v>
                </c:pt>
                <c:pt idx="11">
                  <c:v>0.96508295679577205</c:v>
                </c:pt>
                <c:pt idx="12">
                  <c:v>0.95444633177864535</c:v>
                </c:pt>
                <c:pt idx="13">
                  <c:v>0.96279540613115744</c:v>
                </c:pt>
                <c:pt idx="14">
                  <c:v>0.97278706498447443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A9-4977-800B-FB4B4BBBB2DD}"/>
            </c:ext>
          </c:extLst>
        </c:ser>
        <c:ser>
          <c:idx val="2"/>
          <c:order val="2"/>
          <c:tx>
            <c:strRef>
              <c:f>'Results Flue gas - MEA (GF)'!$M$61</c:f>
              <c:strCache>
                <c:ptCount val="1"/>
                <c:pt idx="0">
                  <c:v>Irrigation water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(GF)'!$I$62:$I$76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MEA (GF)'!$M$62:$M$76</c:f>
              <c:numCache>
                <c:formatCode>0%</c:formatCode>
                <c:ptCount val="15"/>
                <c:pt idx="0">
                  <c:v>-3.4827428563895479E-2</c:v>
                </c:pt>
                <c:pt idx="1">
                  <c:v>-1.2562447534264585E-2</c:v>
                </c:pt>
                <c:pt idx="2">
                  <c:v>-6.4722068131441879E-2</c:v>
                </c:pt>
                <c:pt idx="3">
                  <c:v>-7.9509943068853291E-3</c:v>
                </c:pt>
                <c:pt idx="4">
                  <c:v>-4.4096843919487032E-3</c:v>
                </c:pt>
                <c:pt idx="5">
                  <c:v>-5.9398954005607336E-3</c:v>
                </c:pt>
                <c:pt idx="6">
                  <c:v>-9.4981855998669974E-3</c:v>
                </c:pt>
                <c:pt idx="7">
                  <c:v>-4.4517119567773723E-3</c:v>
                </c:pt>
                <c:pt idx="8">
                  <c:v>-2.7413703720589905E-2</c:v>
                </c:pt>
                <c:pt idx="9">
                  <c:v>-1.0157693016333997E-2</c:v>
                </c:pt>
                <c:pt idx="10">
                  <c:v>-2.8593332318780907E-2</c:v>
                </c:pt>
                <c:pt idx="11">
                  <c:v>-2.7018249230725468E-2</c:v>
                </c:pt>
                <c:pt idx="12">
                  <c:v>-2.351295412256248E-2</c:v>
                </c:pt>
                <c:pt idx="13">
                  <c:v>-1.2372543097588645E-2</c:v>
                </c:pt>
                <c:pt idx="14">
                  <c:v>-1.1738480685771198E-2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A9-4977-800B-FB4B4BBBB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6114735"/>
        <c:axId val="1862555151"/>
      </c:barChart>
      <c:catAx>
        <c:axId val="1526114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55151"/>
        <c:crosses val="autoZero"/>
        <c:auto val="1"/>
        <c:lblAlgn val="ctr"/>
        <c:lblOffset val="100"/>
        <c:noMultiLvlLbl val="0"/>
      </c:catAx>
      <c:valAx>
        <c:axId val="186255515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6114735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Flue gas - MEA (GF)'!$N$80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MEA (GF)'!$N$81:$N$95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3F-4C83-A0D0-22F2F13263B7}"/>
            </c:ext>
          </c:extLst>
        </c:ser>
        <c:ser>
          <c:idx val="1"/>
          <c:order val="1"/>
          <c:tx>
            <c:strRef>
              <c:f>'Results Flue gas - MEA (GF)'!$O$80</c:f>
              <c:strCache>
                <c:ptCount val="1"/>
                <c:pt idx="0">
                  <c:v>Pig manure (transport)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MEA (GF)'!$O$81:$O$95</c:f>
              <c:numCache>
                <c:formatCode>0%</c:formatCode>
                <c:ptCount val="15"/>
                <c:pt idx="0">
                  <c:v>0.34156668525078199</c:v>
                </c:pt>
                <c:pt idx="1">
                  <c:v>0.66881105986914469</c:v>
                </c:pt>
                <c:pt idx="2">
                  <c:v>0.42069774225802298</c:v>
                </c:pt>
                <c:pt idx="3">
                  <c:v>0.46292536298685422</c:v>
                </c:pt>
                <c:pt idx="4">
                  <c:v>0.43209358931097674</c:v>
                </c:pt>
                <c:pt idx="5">
                  <c:v>0.60544211175777696</c:v>
                </c:pt>
                <c:pt idx="6">
                  <c:v>0.58429327692409516</c:v>
                </c:pt>
                <c:pt idx="7">
                  <c:v>0.81502669111553849</c:v>
                </c:pt>
                <c:pt idx="8">
                  <c:v>0.39368382927460743</c:v>
                </c:pt>
                <c:pt idx="9">
                  <c:v>0.79893650713591124</c:v>
                </c:pt>
                <c:pt idx="10">
                  <c:v>0.34183798145923749</c:v>
                </c:pt>
                <c:pt idx="11">
                  <c:v>0.43601393197568561</c:v>
                </c:pt>
                <c:pt idx="12">
                  <c:v>0.60359613126109157</c:v>
                </c:pt>
                <c:pt idx="13">
                  <c:v>0.39393937934573059</c:v>
                </c:pt>
                <c:pt idx="14">
                  <c:v>0.63178741504740721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3F-4C83-A0D0-22F2F13263B7}"/>
            </c:ext>
          </c:extLst>
        </c:ser>
        <c:ser>
          <c:idx val="2"/>
          <c:order val="2"/>
          <c:tx>
            <c:strRef>
              <c:f>'Results Flue gas - MEA (GF)'!$P$80</c:f>
              <c:strCache>
                <c:ptCount val="1"/>
                <c:pt idx="0">
                  <c:v>CO2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MEA (GF)'!$P$81:$P$95</c:f>
              <c:numCache>
                <c:formatCode>0%</c:formatCode>
                <c:ptCount val="15"/>
                <c:pt idx="0">
                  <c:v>0.23959170385707027</c:v>
                </c:pt>
                <c:pt idx="1">
                  <c:v>0.11462260286503349</c:v>
                </c:pt>
                <c:pt idx="2">
                  <c:v>0.27441843554628836</c:v>
                </c:pt>
                <c:pt idx="3">
                  <c:v>0.25260590720676901</c:v>
                </c:pt>
                <c:pt idx="4">
                  <c:v>0.46315031604270324</c:v>
                </c:pt>
                <c:pt idx="5">
                  <c:v>0.30537983554156378</c:v>
                </c:pt>
                <c:pt idx="6">
                  <c:v>0.28107179857263659</c:v>
                </c:pt>
                <c:pt idx="7">
                  <c:v>0.11867932519752579</c:v>
                </c:pt>
                <c:pt idx="8">
                  <c:v>0.30105234003352332</c:v>
                </c:pt>
                <c:pt idx="9">
                  <c:v>8.1027787711102681E-2</c:v>
                </c:pt>
                <c:pt idx="10">
                  <c:v>0.33782579857826051</c:v>
                </c:pt>
                <c:pt idx="11">
                  <c:v>0.35208636760477896</c:v>
                </c:pt>
                <c:pt idx="12">
                  <c:v>0.18038104038264993</c:v>
                </c:pt>
                <c:pt idx="13">
                  <c:v>0.43832691504665799</c:v>
                </c:pt>
                <c:pt idx="14">
                  <c:v>0.14021720692932485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3F-4C83-A0D0-22F2F13263B7}"/>
            </c:ext>
          </c:extLst>
        </c:ser>
        <c:ser>
          <c:idx val="3"/>
          <c:order val="3"/>
          <c:tx>
            <c:strRef>
              <c:f>'Results Flue gas - MEA (GF)'!$Q$80</c:f>
              <c:strCache>
                <c:ptCount val="1"/>
                <c:pt idx="0">
                  <c:v>Water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MEA (GF)'!$Q$81:$Q$95</c:f>
              <c:numCache>
                <c:formatCode>0%</c:formatCode>
                <c:ptCount val="15"/>
                <c:pt idx="0">
                  <c:v>0.23147849265839662</c:v>
                </c:pt>
                <c:pt idx="1">
                  <c:v>9.8076374231675895E-2</c:v>
                </c:pt>
                <c:pt idx="2">
                  <c:v>7.2763418347469938E-2</c:v>
                </c:pt>
                <c:pt idx="3">
                  <c:v>5.7891481578187083E-2</c:v>
                </c:pt>
                <c:pt idx="4">
                  <c:v>2.2036773054859817E-2</c:v>
                </c:pt>
                <c:pt idx="5">
                  <c:v>4.5465512057413837E-2</c:v>
                </c:pt>
                <c:pt idx="6">
                  <c:v>4.0365868575563506E-2</c:v>
                </c:pt>
                <c:pt idx="7">
                  <c:v>2.3060001868103374E-2</c:v>
                </c:pt>
                <c:pt idx="8">
                  <c:v>6.5043850460458269E-2</c:v>
                </c:pt>
                <c:pt idx="9">
                  <c:v>3.975808479797413E-2</c:v>
                </c:pt>
                <c:pt idx="10">
                  <c:v>6.6001467608351669E-2</c:v>
                </c:pt>
                <c:pt idx="11">
                  <c:v>8.8310630244833099E-2</c:v>
                </c:pt>
                <c:pt idx="12">
                  <c:v>5.5517321778182686E-2</c:v>
                </c:pt>
                <c:pt idx="13">
                  <c:v>3.9240422255240909E-2</c:v>
                </c:pt>
                <c:pt idx="14">
                  <c:v>0.11492899046048163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3F-4C83-A0D0-22F2F13263B7}"/>
            </c:ext>
          </c:extLst>
        </c:ser>
        <c:ser>
          <c:idx val="4"/>
          <c:order val="4"/>
          <c:tx>
            <c:strRef>
              <c:f>'Results Flue gas - MEA (GF)'!$R$80</c:f>
              <c:strCache>
                <c:ptCount val="1"/>
                <c:pt idx="0">
                  <c:v>Thin-layer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MEA (GF)'!$R$81:$R$95</c:f>
              <c:numCache>
                <c:formatCode>0%</c:formatCode>
                <c:ptCount val="15"/>
                <c:pt idx="0">
                  <c:v>2.1957748017875534E-2</c:v>
                </c:pt>
                <c:pt idx="1">
                  <c:v>6.4254867748827924E-2</c:v>
                </c:pt>
                <c:pt idx="2">
                  <c:v>1.4453630579059953E-2</c:v>
                </c:pt>
                <c:pt idx="3">
                  <c:v>2.4591024044223137E-3</c:v>
                </c:pt>
                <c:pt idx="4">
                  <c:v>2.0596010993001027E-3</c:v>
                </c:pt>
                <c:pt idx="5">
                  <c:v>4.5995368861618422E-3</c:v>
                </c:pt>
                <c:pt idx="6">
                  <c:v>4.918097407480412E-3</c:v>
                </c:pt>
                <c:pt idx="7">
                  <c:v>3.2528256806209316E-3</c:v>
                </c:pt>
                <c:pt idx="8">
                  <c:v>1.3985705520275823E-2</c:v>
                </c:pt>
                <c:pt idx="9">
                  <c:v>2.9542189534013672E-3</c:v>
                </c:pt>
                <c:pt idx="10">
                  <c:v>1.2443576571840248E-2</c:v>
                </c:pt>
                <c:pt idx="11">
                  <c:v>7.187884134926866E-3</c:v>
                </c:pt>
                <c:pt idx="12">
                  <c:v>6.9531537902516203E-3</c:v>
                </c:pt>
                <c:pt idx="13">
                  <c:v>4.171510407777774E-3</c:v>
                </c:pt>
                <c:pt idx="14">
                  <c:v>2.3066446925603824E-2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3F-4C83-A0D0-22F2F13263B7}"/>
            </c:ext>
          </c:extLst>
        </c:ser>
        <c:ser>
          <c:idx val="5"/>
          <c:order val="5"/>
          <c:tx>
            <c:strRef>
              <c:f>'Results Flue gas - MEA (GF)'!$S$80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MEA (GF)'!$S$81:$S$95</c:f>
              <c:numCache>
                <c:formatCode>0%</c:formatCode>
                <c:ptCount val="15"/>
                <c:pt idx="0">
                  <c:v>0.16540537021587562</c:v>
                </c:pt>
                <c:pt idx="1">
                  <c:v>5.4235095285318162E-2</c:v>
                </c:pt>
                <c:pt idx="2">
                  <c:v>0.21766677326915879</c:v>
                </c:pt>
                <c:pt idx="3">
                  <c:v>0.2241181458237673</c:v>
                </c:pt>
                <c:pt idx="4">
                  <c:v>8.0659720492159998E-2</c:v>
                </c:pt>
                <c:pt idx="5">
                  <c:v>3.9113003757083563E-2</c:v>
                </c:pt>
                <c:pt idx="6">
                  <c:v>8.935095852022433E-2</c:v>
                </c:pt>
                <c:pt idx="7">
                  <c:v>3.9981156138211411E-2</c:v>
                </c:pt>
                <c:pt idx="8">
                  <c:v>0.22623427471113514</c:v>
                </c:pt>
                <c:pt idx="9">
                  <c:v>7.7323401401610606E-2</c:v>
                </c:pt>
                <c:pt idx="10">
                  <c:v>0.24189117578231006</c:v>
                </c:pt>
                <c:pt idx="11">
                  <c:v>0.11640118603977553</c:v>
                </c:pt>
                <c:pt idx="12">
                  <c:v>0.15355235278782423</c:v>
                </c:pt>
                <c:pt idx="13">
                  <c:v>0.12432177294459279</c:v>
                </c:pt>
                <c:pt idx="14">
                  <c:v>8.9999940637182474E-2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93F-4C83-A0D0-22F2F1326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2589263"/>
        <c:axId val="1862564271"/>
      </c:barChart>
      <c:catAx>
        <c:axId val="1422589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64271"/>
        <c:crosses val="autoZero"/>
        <c:auto val="1"/>
        <c:lblAlgn val="ctr"/>
        <c:lblOffset val="100"/>
        <c:noMultiLvlLbl val="0"/>
      </c:catAx>
      <c:valAx>
        <c:axId val="186256427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22589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Flue gas - MEA (GF)'!$N$102</c:f>
              <c:strCache>
                <c:ptCount val="1"/>
                <c:pt idx="0">
                  <c:v>Biostimulant delivery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(GF)'!$L$103:$L$106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MEA (GF)'!$N$103:$N$106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0D-4839-AC45-B86B310C2156}"/>
            </c:ext>
          </c:extLst>
        </c:ser>
        <c:ser>
          <c:idx val="1"/>
          <c:order val="1"/>
          <c:tx>
            <c:strRef>
              <c:f>'Results Flue gas - MEA (GF)'!$O$102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(GF)'!$L$103:$L$106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MEA (GF)'!$O$103:$O$106</c:f>
              <c:numCache>
                <c:formatCode>0%</c:formatCode>
                <c:ptCount val="4"/>
                <c:pt idx="0">
                  <c:v>0.9628390892786427</c:v>
                </c:pt>
                <c:pt idx="1">
                  <c:v>0.92430833781462773</c:v>
                </c:pt>
                <c:pt idx="2">
                  <c:v>0.94466523991932561</c:v>
                </c:pt>
                <c:pt idx="3">
                  <c:v>0.95973294387648656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D-4839-AC45-B86B310C2156}"/>
            </c:ext>
          </c:extLst>
        </c:ser>
        <c:ser>
          <c:idx val="2"/>
          <c:order val="2"/>
          <c:tx>
            <c:strRef>
              <c:f>'Results Flue gas - MEA (GF)'!$P$102</c:f>
              <c:strCache>
                <c:ptCount val="1"/>
                <c:pt idx="0">
                  <c:v>Final tank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(GF)'!$L$103:$L$106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MEA (GF)'!$P$103:$P$106</c:f>
              <c:numCache>
                <c:formatCode>0%</c:formatCode>
                <c:ptCount val="4"/>
                <c:pt idx="0">
                  <c:v>9.628390892786427E-8</c:v>
                </c:pt>
                <c:pt idx="1">
                  <c:v>2.7074228477719807E-7</c:v>
                </c:pt>
                <c:pt idx="2">
                  <c:v>7.245490675109391E-11</c:v>
                </c:pt>
                <c:pt idx="3">
                  <c:v>2.8940053707355483E-4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0D-4839-AC45-B86B310C2156}"/>
            </c:ext>
          </c:extLst>
        </c:ser>
        <c:ser>
          <c:idx val="3"/>
          <c:order val="3"/>
          <c:tx>
            <c:strRef>
              <c:f>'Results Flue gas - MEA (GF)'!$Q$102</c:f>
              <c:strCache>
                <c:ptCount val="1"/>
                <c:pt idx="0">
                  <c:v>Transport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(GF)'!$L$103:$L$106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MEA (GF)'!$Q$103:$Q$106</c:f>
              <c:numCache>
                <c:formatCode>0%</c:formatCode>
                <c:ptCount val="4"/>
                <c:pt idx="0">
                  <c:v>3.7160814437448446E-2</c:v>
                </c:pt>
                <c:pt idx="1">
                  <c:v>7.5691391443087619E-2</c:v>
                </c:pt>
                <c:pt idx="2">
                  <c:v>5.5334760008219401E-2</c:v>
                </c:pt>
                <c:pt idx="3">
                  <c:v>3.9977655586439904E-2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0D-4839-AC45-B86B310C2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Flue gas - MEA (GF)'!$N$110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MEA (GF)'!$N$111:$N$114</c:f>
              <c:numCache>
                <c:formatCode>0%</c:formatCode>
                <c:ptCount val="4"/>
                <c:pt idx="0">
                  <c:v>0.75628748270055557</c:v>
                </c:pt>
                <c:pt idx="1">
                  <c:v>0.8642030028645733</c:v>
                </c:pt>
                <c:pt idx="2">
                  <c:v>0.83524456356416732</c:v>
                </c:pt>
                <c:pt idx="3">
                  <c:v>0.91148305179228661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A4-4F0E-B579-8E55AEEFCB10}"/>
            </c:ext>
          </c:extLst>
        </c:ser>
        <c:ser>
          <c:idx val="1"/>
          <c:order val="1"/>
          <c:tx>
            <c:strRef>
              <c:f>'Results Flue gas - MEA (GF)'!$O$110</c:f>
              <c:strCache>
                <c:ptCount val="1"/>
                <c:pt idx="0">
                  <c:v>Phosphate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MEA (GF)'!$O$111:$O$114</c:f>
              <c:numCache>
                <c:formatCode>0%</c:formatCode>
                <c:ptCount val="4"/>
                <c:pt idx="0">
                  <c:v>0.23653324973231329</c:v>
                </c:pt>
                <c:pt idx="1">
                  <c:v>0.13442024025563212</c:v>
                </c:pt>
                <c:pt idx="2">
                  <c:v>0.13660070247186198</c:v>
                </c:pt>
                <c:pt idx="3">
                  <c:v>6.8720054868342276E-2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A4-4F0E-B579-8E55AEEFCB10}"/>
            </c:ext>
          </c:extLst>
        </c:ser>
        <c:ser>
          <c:idx val="2"/>
          <c:order val="2"/>
          <c:tx>
            <c:strRef>
              <c:f>'Results Flue gas - MEA (GF)'!$P$110</c:f>
              <c:strCache>
                <c:ptCount val="1"/>
                <c:pt idx="0">
                  <c:v>Enzyme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MEA (GF)'!$P$111:$P$114</c:f>
              <c:numCache>
                <c:formatCode>0%</c:formatCode>
                <c:ptCount val="4"/>
                <c:pt idx="0">
                  <c:v>4.9358676223560174E-4</c:v>
                </c:pt>
                <c:pt idx="1">
                  <c:v>1.7702394153771512E-5</c:v>
                </c:pt>
                <c:pt idx="2">
                  <c:v>5.9934841439344706E-3</c:v>
                </c:pt>
                <c:pt idx="3">
                  <c:v>3.0308576579610559E-3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A4-4F0E-B579-8E55AEEFCB10}"/>
            </c:ext>
          </c:extLst>
        </c:ser>
        <c:ser>
          <c:idx val="3"/>
          <c:order val="3"/>
          <c:tx>
            <c:strRef>
              <c:f>'Results Flue gas - MEA (GF)'!$Q$110</c:f>
              <c:strCache>
                <c:ptCount val="1"/>
                <c:pt idx="0">
                  <c:v>Reactor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MEA (GF)'!$Q$111:$Q$114</c:f>
              <c:numCache>
                <c:formatCode>0%</c:formatCode>
                <c:ptCount val="4"/>
                <c:pt idx="0">
                  <c:v>1.6643134258288826E-8</c:v>
                </c:pt>
                <c:pt idx="1">
                  <c:v>4.8839257263758182E-8</c:v>
                </c:pt>
                <c:pt idx="2">
                  <c:v>1.2811066716627491E-11</c:v>
                </c:pt>
                <c:pt idx="3">
                  <c:v>5.0337237125480366E-5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A4-4F0E-B579-8E55AEEFCB10}"/>
            </c:ext>
          </c:extLst>
        </c:ser>
        <c:ser>
          <c:idx val="4"/>
          <c:order val="4"/>
          <c:tx>
            <c:strRef>
              <c:f>'Results Flue gas - MEA (GF)'!$R$110</c:f>
              <c:strCache>
                <c:ptCount val="1"/>
                <c:pt idx="0">
                  <c:v>Steam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MEA (GF)'!$R$111:$R$114</c:f>
              <c:numCache>
                <c:formatCode>0%</c:formatCode>
                <c:ptCount val="4"/>
                <c:pt idx="0">
                  <c:v>2.625845612487774E-3</c:v>
                </c:pt>
                <c:pt idx="1">
                  <c:v>2.4202916185471851E-4</c:v>
                </c:pt>
                <c:pt idx="2">
                  <c:v>1.8863711272863157E-2</c:v>
                </c:pt>
                <c:pt idx="3">
                  <c:v>1.3803295274188086E-2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A4-4F0E-B579-8E55AEEFCB10}"/>
            </c:ext>
          </c:extLst>
        </c:ser>
        <c:ser>
          <c:idx val="5"/>
          <c:order val="5"/>
          <c:tx>
            <c:strRef>
              <c:f>'Results Flue gas - MEA (GF)'!$S$110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MEA (GF)'!$S$111:$S$114</c:f>
              <c:numCache>
                <c:formatCode>0%</c:formatCode>
                <c:ptCount val="4"/>
                <c:pt idx="0">
                  <c:v>4.0598185492733757E-3</c:v>
                </c:pt>
                <c:pt idx="1">
                  <c:v>1.1169764845288166E-3</c:v>
                </c:pt>
                <c:pt idx="2">
                  <c:v>3.2975385343621878E-3</c:v>
                </c:pt>
                <c:pt idx="3">
                  <c:v>2.9124031700965484E-3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A4-4F0E-B579-8E55AEEFC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-0.1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Flue gas - MEA (GF)'!$J$118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(GF)'!$H$119:$H$122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MEA (GF)'!$J$119:$J$122</c:f>
              <c:numCache>
                <c:formatCode>0%</c:formatCode>
                <c:ptCount val="4"/>
                <c:pt idx="0">
                  <c:v>0.9866960408144051</c:v>
                </c:pt>
                <c:pt idx="1">
                  <c:v>0.99679664102424115</c:v>
                </c:pt>
                <c:pt idx="2">
                  <c:v>0.99021516343487892</c:v>
                </c:pt>
                <c:pt idx="3">
                  <c:v>0.99208081935621228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58-4780-A3FC-ABBB01584505}"/>
            </c:ext>
          </c:extLst>
        </c:ser>
        <c:ser>
          <c:idx val="1"/>
          <c:order val="1"/>
          <c:tx>
            <c:strRef>
              <c:f>'Results Flue gas - MEA (GF)'!$K$118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(GF)'!$H$119:$H$122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MEA (GF)'!$K$119:$K$122</c:f>
              <c:numCache>
                <c:formatCode>0%</c:formatCode>
                <c:ptCount val="4"/>
                <c:pt idx="0">
                  <c:v>1.3303959185594939E-2</c:v>
                </c:pt>
                <c:pt idx="1">
                  <c:v>3.2033589757587974E-3</c:v>
                </c:pt>
                <c:pt idx="2">
                  <c:v>9.784836565121139E-3</c:v>
                </c:pt>
                <c:pt idx="3">
                  <c:v>7.9191806437877883E-3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58-4780-A3FC-ABBB01584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Flue gas - MEA (GF)'!$K$126</c:f>
              <c:strCache>
                <c:ptCount val="1"/>
                <c:pt idx="0">
                  <c:v>Biomass cultivation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(GF)'!$I$127:$I$130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MEA (GF)'!$K$127:$K$130</c:f>
              <c:numCache>
                <c:formatCode>0%</c:formatCode>
                <c:ptCount val="4"/>
                <c:pt idx="0">
                  <c:v>0.94013547476221659</c:v>
                </c:pt>
                <c:pt idx="1">
                  <c:v>0.98491495427600806</c:v>
                </c:pt>
                <c:pt idx="2">
                  <c:v>0.95444633177864535</c:v>
                </c:pt>
                <c:pt idx="3">
                  <c:v>0.96278171887410724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75-4370-B9BC-AC1AF7B6FEE7}"/>
            </c:ext>
          </c:extLst>
        </c:ser>
        <c:ser>
          <c:idx val="1"/>
          <c:order val="1"/>
          <c:tx>
            <c:strRef>
              <c:f>'Results Flue gas - MEA (GF)'!$L$126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(GF)'!$I$127:$I$130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MEA (GF)'!$L$127:$L$130</c:f>
              <c:numCache>
                <c:formatCode>0%</c:formatCode>
                <c:ptCount val="4"/>
                <c:pt idx="0">
                  <c:v>5.9864525237783357E-2</c:v>
                </c:pt>
                <c:pt idx="1">
                  <c:v>1.5085045723991879E-2</c:v>
                </c:pt>
                <c:pt idx="2">
                  <c:v>4.5553668221354669E-2</c:v>
                </c:pt>
                <c:pt idx="3">
                  <c:v>3.7218281125892858E-2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75-4370-B9BC-AC1AF7B6FEE7}"/>
            </c:ext>
          </c:extLst>
        </c:ser>
        <c:ser>
          <c:idx val="2"/>
          <c:order val="2"/>
          <c:tx>
            <c:strRef>
              <c:f>'Results Flue gas - MEA (GF)'!$M$126</c:f>
              <c:strCache>
                <c:ptCount val="1"/>
                <c:pt idx="0">
                  <c:v>Irrigation water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(GF)'!$I$127:$I$130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MEA (GF)'!$M$127:$M$130</c:f>
              <c:numCache>
                <c:formatCode>0%</c:formatCode>
                <c:ptCount val="4"/>
                <c:pt idx="0">
                  <c:v>-5.9515527021300224E-2</c:v>
                </c:pt>
                <c:pt idx="1">
                  <c:v>-5.7062245902155511E-3</c:v>
                </c:pt>
                <c:pt idx="2">
                  <c:v>-2.351295412256248E-2</c:v>
                </c:pt>
                <c:pt idx="3">
                  <c:v>-1.2379145207619494E-2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75-4370-B9BC-AC1AF7B6F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-0.1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Flue gas - MEA (GF)'!$O$134</c:f>
              <c:strCache>
                <c:ptCount val="1"/>
                <c:pt idx="0">
                  <c:v>Pig manure (transport)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MEA (GF)'!$O$135:$O$138</c:f>
              <c:numCache>
                <c:formatCode>0%</c:formatCode>
                <c:ptCount val="4"/>
                <c:pt idx="0">
                  <c:v>0.43100227312720113</c:v>
                </c:pt>
                <c:pt idx="1">
                  <c:v>0.79736859525727899</c:v>
                </c:pt>
                <c:pt idx="2">
                  <c:v>0.60359613126109157</c:v>
                </c:pt>
                <c:pt idx="3">
                  <c:v>0.39387017615871833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3D-442A-9593-49139830FFE2}"/>
            </c:ext>
          </c:extLst>
        </c:ser>
        <c:ser>
          <c:idx val="1"/>
          <c:order val="1"/>
          <c:tx>
            <c:strRef>
              <c:f>'Results Flue gas - MEA (GF)'!$P$134</c:f>
              <c:strCache>
                <c:ptCount val="1"/>
                <c:pt idx="0">
                  <c:v>CO2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MEA (GF)'!$P$135:$P$138</c:f>
              <c:numCache>
                <c:formatCode>0%</c:formatCode>
                <c:ptCount val="4"/>
                <c:pt idx="0">
                  <c:v>0.26322957620520337</c:v>
                </c:pt>
                <c:pt idx="1">
                  <c:v>0.12390995324886073</c:v>
                </c:pt>
                <c:pt idx="2">
                  <c:v>0.18038104038264993</c:v>
                </c:pt>
                <c:pt idx="3">
                  <c:v>0.43824991431744714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3D-442A-9593-49139830FFE2}"/>
            </c:ext>
          </c:extLst>
        </c:ser>
        <c:ser>
          <c:idx val="2"/>
          <c:order val="2"/>
          <c:tx>
            <c:strRef>
              <c:f>'Results Flue gas - MEA (GF)'!$Q$134</c:f>
              <c:strCache>
                <c:ptCount val="1"/>
                <c:pt idx="0">
                  <c:v>Water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MEA (GF)'!$Q$135:$Q$138</c:f>
              <c:numCache>
                <c:formatCode>0%</c:formatCode>
                <c:ptCount val="4"/>
                <c:pt idx="0">
                  <c:v>8.2999274431296358E-2</c:v>
                </c:pt>
                <c:pt idx="1">
                  <c:v>2.5837618484627352E-2</c:v>
                </c:pt>
                <c:pt idx="2">
                  <c:v>5.5517321778182686E-2</c:v>
                </c:pt>
                <c:pt idx="3">
                  <c:v>3.932208132168466E-2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3D-442A-9593-49139830FFE2}"/>
            </c:ext>
          </c:extLst>
        </c:ser>
        <c:ser>
          <c:idx val="3"/>
          <c:order val="3"/>
          <c:tx>
            <c:strRef>
              <c:f>'Results Flue gas - MEA (GF)'!$R$134</c:f>
              <c:strCache>
                <c:ptCount val="1"/>
                <c:pt idx="0">
                  <c:v>Thin-layer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MEA (GF)'!$R$135:$R$138</c:f>
              <c:numCache>
                <c:formatCode>0%</c:formatCode>
                <c:ptCount val="4"/>
                <c:pt idx="0">
                  <c:v>1.7898164865601054E-2</c:v>
                </c:pt>
                <c:pt idx="1">
                  <c:v>3.6081636992267587E-3</c:v>
                </c:pt>
                <c:pt idx="2">
                  <c:v>6.9531537902516203E-3</c:v>
                </c:pt>
                <c:pt idx="3">
                  <c:v>4.1885502289891316E-3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3D-442A-9593-49139830FFE2}"/>
            </c:ext>
          </c:extLst>
        </c:ser>
        <c:ser>
          <c:idx val="4"/>
          <c:order val="4"/>
          <c:tx>
            <c:strRef>
              <c:f>'Results Flue gas - MEA (GF)'!$S$134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MEA (GF)'!$S$135:$S$138</c:f>
              <c:numCache>
                <c:formatCode>0%</c:formatCode>
                <c:ptCount val="4"/>
                <c:pt idx="0">
                  <c:v>0.20487071137069812</c:v>
                </c:pt>
                <c:pt idx="1">
                  <c:v>4.9275669310006015E-2</c:v>
                </c:pt>
                <c:pt idx="2">
                  <c:v>0.15355235278782423</c:v>
                </c:pt>
                <c:pt idx="3">
                  <c:v>0.12436927797316061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3D-442A-9593-49139830F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Flue gas - MEA (GF)'!$AF$4</c:f>
              <c:strCache>
                <c:ptCount val="1"/>
                <c:pt idx="0">
                  <c:v>Biostimulant delivery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Flue gas - MEA (GF)'!$AF$7,'Results Flue gas - MEA (GF)'!$AF$10,'Results Flue gas - MEA (GF)'!$AF$13,'Results Flue gas - MEA (GF)'!$AF$16)</c:f>
              <c:numCache>
                <c:formatCode>0.00%</c:formatCode>
                <c:ptCount val="4"/>
                <c:pt idx="0">
                  <c:v>5.5413548007040139E-2</c:v>
                </c:pt>
                <c:pt idx="1">
                  <c:v>3.5864542966094544E-2</c:v>
                </c:pt>
                <c:pt idx="2">
                  <c:v>7.6212274489354484E-2</c:v>
                </c:pt>
                <c:pt idx="3">
                  <c:v>4.0502739475112688E-2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B7-4140-80BD-AF9F02A7D8B7}"/>
            </c:ext>
          </c:extLst>
        </c:ser>
        <c:ser>
          <c:idx val="1"/>
          <c:order val="1"/>
          <c:tx>
            <c:strRef>
              <c:f>'Results Flue gas - MEA (GF)'!$AG$4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Flue gas - MEA (GF)'!$AG$7,'Results Flue gas - MEA (GF)'!$AG$10,'Results Flue gas - MEA (GF)'!$AG$13,'Results Flue gas - MEA (GF)'!$AG$16)</c:f>
              <c:numCache>
                <c:formatCode>0.00%</c:formatCode>
                <c:ptCount val="4"/>
                <c:pt idx="0">
                  <c:v>0.15562575314947488</c:v>
                </c:pt>
                <c:pt idx="1">
                  <c:v>0.23497187925138349</c:v>
                </c:pt>
                <c:pt idx="2">
                  <c:v>0.12544759911491141</c:v>
                </c:pt>
                <c:pt idx="3">
                  <c:v>8.493176931532441E-2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B7-4140-80BD-AF9F02A7D8B7}"/>
            </c:ext>
          </c:extLst>
        </c:ser>
        <c:ser>
          <c:idx val="2"/>
          <c:order val="2"/>
          <c:tx>
            <c:strRef>
              <c:f>'Results Flue gas - MEA (GF)'!$AH$4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Flue gas - MEA (GF)'!$AH$7,'Results Flue gas - MEA (GF)'!$AH$10,'Results Flue gas - MEA (GF)'!$AH$13,'Results Flue gas - MEA (GF)'!$AH$16)</c:f>
              <c:numCache>
                <c:formatCode>0.00%</c:formatCode>
                <c:ptCount val="4"/>
                <c:pt idx="0">
                  <c:v>7.719851494487299E-3</c:v>
                </c:pt>
                <c:pt idx="1">
                  <c:v>9.7007624784410263E-3</c:v>
                </c:pt>
                <c:pt idx="2">
                  <c:v>2.5573700095981823E-3</c:v>
                </c:pt>
                <c:pt idx="3">
                  <c:v>6.9258421097114229E-3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B7-4140-80BD-AF9F02A7D8B7}"/>
            </c:ext>
          </c:extLst>
        </c:ser>
        <c:ser>
          <c:idx val="3"/>
          <c:order val="3"/>
          <c:tx>
            <c:strRef>
              <c:f>'Results Flue gas - MEA (GF)'!$AI$4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Flue gas - MEA (GF)'!$AI$7,'Results Flue gas - MEA (GF)'!$AI$10,'Results Flue gas - MEA (GF)'!$AI$13,'Results Flue gas - MEA (GF)'!$AI$16)</c:f>
              <c:numCache>
                <c:formatCode>0.00%</c:formatCode>
                <c:ptCount val="4"/>
                <c:pt idx="0">
                  <c:v>1.763372717683611E-2</c:v>
                </c:pt>
                <c:pt idx="1">
                  <c:v>2.6698073873763535E-4</c:v>
                </c:pt>
                <c:pt idx="2">
                  <c:v>7.5063369781362271E-3</c:v>
                </c:pt>
                <c:pt idx="3">
                  <c:v>2.1821551324576732E-2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B7-4140-80BD-AF9F02A7D8B7}"/>
            </c:ext>
          </c:extLst>
        </c:ser>
        <c:ser>
          <c:idx val="4"/>
          <c:order val="4"/>
          <c:tx>
            <c:strRef>
              <c:f>'Results Flue gas - MEA (GF)'!$AJ$4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Flue gas - MEA (GF)'!$AJ$7,'Results Flue gas - MEA (GF)'!$AJ$10,'Results Flue gas - MEA (GF)'!$AJ$13,'Results Flue gas - MEA (GF)'!$AJ$16)</c:f>
              <c:numCache>
                <c:formatCode>0.00%</c:formatCode>
                <c:ptCount val="4"/>
                <c:pt idx="0">
                  <c:v>0.76360712017216159</c:v>
                </c:pt>
                <c:pt idx="1">
                  <c:v>0.71919583456534331</c:v>
                </c:pt>
                <c:pt idx="2">
                  <c:v>0.78827641940799964</c:v>
                </c:pt>
                <c:pt idx="3">
                  <c:v>0.84581809777527472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B7-4140-80BD-AF9F02A7D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5537487"/>
        <c:axId val="1664588207"/>
      </c:barChart>
      <c:catAx>
        <c:axId val="83553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4588207"/>
        <c:crosses val="autoZero"/>
        <c:auto val="1"/>
        <c:lblAlgn val="ctr"/>
        <c:lblOffset val="100"/>
        <c:noMultiLvlLbl val="0"/>
      </c:catAx>
      <c:valAx>
        <c:axId val="16645882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553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Flue gas - MEA (GF)'!$AN$4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Flue gas - MEA (GF)'!$AN$7,'Results Flue gas - MEA (GF)'!$AN$10,'Results Flue gas - MEA (GF)'!$AN$13,'Results Flue gas - MEA (GF)'!$AN$16)</c:f>
              <c:numCache>
                <c:formatCode>0.0%</c:formatCode>
                <c:ptCount val="4"/>
                <c:pt idx="0">
                  <c:v>0.16475543643583271</c:v>
                </c:pt>
                <c:pt idx="1">
                  <c:v>0.24371251729944446</c:v>
                </c:pt>
                <c:pt idx="2">
                  <c:v>0.1357969971354267</c:v>
                </c:pt>
                <c:pt idx="3">
                  <c:v>8.8516948207713386E-2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06-4B3F-8B41-3B99D887075E}"/>
            </c:ext>
          </c:extLst>
        </c:ser>
        <c:ser>
          <c:idx val="1"/>
          <c:order val="1"/>
          <c:tx>
            <c:strRef>
              <c:f>'Results Flue gas - MEA (GF)'!$AO$4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Flue gas - MEA (GF)'!$AO$7,'Results Flue gas - MEA (GF)'!$AO$10,'Results Flue gas - MEA (GF)'!$AO$13,'Results Flue gas - MEA (GF)'!$AO$16)</c:f>
              <c:numCache>
                <c:formatCode>0.0%</c:formatCode>
                <c:ptCount val="4"/>
                <c:pt idx="0">
                  <c:v>8.1727315463812726E-3</c:v>
                </c:pt>
                <c:pt idx="1">
                  <c:v>1.0061617802424512E-2</c:v>
                </c:pt>
                <c:pt idx="2">
                  <c:v>2.7683524461039584E-3</c:v>
                </c:pt>
                <c:pt idx="3">
                  <c:v>7.21819894089406E-3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06-4B3F-8B41-3B99D887075E}"/>
            </c:ext>
          </c:extLst>
        </c:ser>
        <c:ser>
          <c:idx val="2"/>
          <c:order val="2"/>
          <c:tx>
            <c:strRef>
              <c:f>'Results Flue gas - MEA (GF)'!$AP$4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Flue gas - MEA (GF)'!$AP$7,'Results Flue gas - MEA (GF)'!$AP$10,'Results Flue gas - MEA (GF)'!$AP$13,'Results Flue gas - MEA (GF)'!$AP$16)</c:f>
              <c:numCache>
                <c:formatCode>0.0%</c:formatCode>
                <c:ptCount val="4"/>
                <c:pt idx="0">
                  <c:v>1.8668198278337791E-2</c:v>
                </c:pt>
                <c:pt idx="1">
                  <c:v>2.7691206333079117E-4</c:v>
                </c:pt>
                <c:pt idx="2">
                  <c:v>8.1256080491725873E-3</c:v>
                </c:pt>
                <c:pt idx="3">
                  <c:v>2.2742692681206121E-2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06-4B3F-8B41-3B99D887075E}"/>
            </c:ext>
          </c:extLst>
        </c:ser>
        <c:ser>
          <c:idx val="3"/>
          <c:order val="3"/>
          <c:tx>
            <c:strRef>
              <c:f>'Results Flue gas - MEA (GF)'!$AQ$4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Flue gas - MEA (GF)'!$AQ$7,'Results Flue gas - MEA (GF)'!$AQ$10,'Results Flue gas - MEA (GF)'!$AQ$13,'Results Flue gas - MEA (GF)'!$AQ$16)</c:f>
              <c:numCache>
                <c:formatCode>0.0%</c:formatCode>
                <c:ptCount val="4"/>
                <c:pt idx="0">
                  <c:v>0.80840363373944824</c:v>
                </c:pt>
                <c:pt idx="1">
                  <c:v>0.74594895283480023</c:v>
                </c:pt>
                <c:pt idx="2">
                  <c:v>0.85330904236929672</c:v>
                </c:pt>
                <c:pt idx="3">
                  <c:v>0.88152216017018648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06-4B3F-8B41-3B99D8870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5537487"/>
        <c:axId val="1664588207"/>
      </c:barChart>
      <c:catAx>
        <c:axId val="83553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4588207"/>
        <c:crosses val="autoZero"/>
        <c:auto val="1"/>
        <c:lblAlgn val="ctr"/>
        <c:lblOffset val="100"/>
        <c:noMultiLvlLbl val="0"/>
      </c:catAx>
      <c:valAx>
        <c:axId val="16645882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553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Flue gas - MEA (GF)'!$AN$35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(GF)'!$B$62:$B$76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Flue gas - MEA (GF)'!$AN$38,'Results Flue gas - MEA (GF)'!$AN$41,'Results Flue gas - MEA (GF)'!$AN$44,'Results Flue gas - MEA (GF)'!$AN$47,'Results Flue gas - MEA (GF)'!$AN$50,'Results Flue gas - MEA (GF)'!$AN$53,'Results Flue gas - MEA (GF)'!$AN$56,'Results Flue gas - MEA (GF)'!$AN$59,'Results Flue gas - MEA (GF)'!$AN$62,'Results Flue gas - MEA (GF)'!$AN$65,'Results Flue gas - MEA (GF)'!$AN$68,'Results Flue gas - MEA (GF)'!$AN$71,'Results Flue gas - MEA (GF)'!$AN$74,'Results Flue gas - MEA (GF)'!$AN$77,'Results Flue gas - MEA (GF)'!$AN$80)</c:f>
              <c:numCache>
                <c:formatCode>0.0%</c:formatCode>
                <c:ptCount val="15"/>
                <c:pt idx="0">
                  <c:v>0.17783584778267794</c:v>
                </c:pt>
                <c:pt idx="1">
                  <c:v>0.45632767053068535</c:v>
                </c:pt>
                <c:pt idx="2">
                  <c:v>0.22756439836339201</c:v>
                </c:pt>
                <c:pt idx="3">
                  <c:v>4.2890391974631126E-2</c:v>
                </c:pt>
                <c:pt idx="4">
                  <c:v>5.9926701533278837E-2</c:v>
                </c:pt>
                <c:pt idx="5">
                  <c:v>9.6126391923293475E-2</c:v>
                </c:pt>
                <c:pt idx="6">
                  <c:v>0.13772096451784646</c:v>
                </c:pt>
                <c:pt idx="7">
                  <c:v>8.8271891243684369E-2</c:v>
                </c:pt>
                <c:pt idx="8">
                  <c:v>0.2230895112224362</c:v>
                </c:pt>
                <c:pt idx="9">
                  <c:v>0.46023508201852309</c:v>
                </c:pt>
                <c:pt idx="10">
                  <c:v>0.24930147343105152</c:v>
                </c:pt>
                <c:pt idx="11">
                  <c:v>0.63589206410543697</c:v>
                </c:pt>
                <c:pt idx="12">
                  <c:v>0.16475543643583271</c:v>
                </c:pt>
                <c:pt idx="13">
                  <c:v>8.790738452477842E-2</c:v>
                </c:pt>
                <c:pt idx="14">
                  <c:v>0.49660132424368797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68-4289-91E1-ECE8DE0FA27A}"/>
            </c:ext>
          </c:extLst>
        </c:ser>
        <c:ser>
          <c:idx val="1"/>
          <c:order val="1"/>
          <c:tx>
            <c:strRef>
              <c:f>'Results Flue gas - MEA (GF)'!$AO$35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(GF)'!$B$62:$B$76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Flue gas - MEA (GF)'!$AO$38,'Results Flue gas - MEA (GF)'!$AO$41,'Results Flue gas - MEA (GF)'!$AO$44,'Results Flue gas - MEA (GF)'!$AO$47,'Results Flue gas - MEA (GF)'!$AO$50,'Results Flue gas - MEA (GF)'!$AO$53,'Results Flue gas - MEA (GF)'!$AO$56,'Results Flue gas - MEA (GF)'!$AO$59,'Results Flue gas - MEA (GF)'!$AO$62,'Results Flue gas - MEA (GF)'!$AO$65,'Results Flue gas - MEA (GF)'!$AO$68,'Results Flue gas - MEA (GF)'!$AO$71,'Results Flue gas - MEA (GF)'!$AO$74,'Results Flue gas - MEA (GF)'!$AO$77,'Results Flue gas - MEA (GF)'!$AO$80)</c:f>
              <c:numCache>
                <c:formatCode>0.0%</c:formatCode>
                <c:ptCount val="15"/>
                <c:pt idx="0">
                  <c:v>8.7292512979999116E-3</c:v>
                </c:pt>
                <c:pt idx="1">
                  <c:v>1.9265867618715731E-3</c:v>
                </c:pt>
                <c:pt idx="2">
                  <c:v>1.0928891326053068E-2</c:v>
                </c:pt>
                <c:pt idx="3">
                  <c:v>1.3126360977433848E-2</c:v>
                </c:pt>
                <c:pt idx="4">
                  <c:v>4.8664678540051827E-3</c:v>
                </c:pt>
                <c:pt idx="5">
                  <c:v>2.3074809153552423E-3</c:v>
                </c:pt>
                <c:pt idx="6">
                  <c:v>4.9542150693307509E-3</c:v>
                </c:pt>
                <c:pt idx="7">
                  <c:v>2.3748946784445846E-3</c:v>
                </c:pt>
                <c:pt idx="8">
                  <c:v>1.0959742016125778E-2</c:v>
                </c:pt>
                <c:pt idx="9">
                  <c:v>2.6973786649634774E-3</c:v>
                </c:pt>
                <c:pt idx="10">
                  <c:v>1.1274863634140606E-2</c:v>
                </c:pt>
                <c:pt idx="11">
                  <c:v>2.7469215173369509E-3</c:v>
                </c:pt>
                <c:pt idx="12">
                  <c:v>8.1727315463812726E-3</c:v>
                </c:pt>
                <c:pt idx="13">
                  <c:v>7.2203430058259254E-3</c:v>
                </c:pt>
                <c:pt idx="14">
                  <c:v>2.9191536215207813E-3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568-4289-91E1-ECE8DE0FA27A}"/>
            </c:ext>
          </c:extLst>
        </c:ser>
        <c:ser>
          <c:idx val="2"/>
          <c:order val="2"/>
          <c:tx>
            <c:strRef>
              <c:f>'Results Flue gas - MEA (GF)'!$AP$35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(GF)'!$B$62:$B$76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Flue gas - MEA (GF)'!$AP$38,'Results Flue gas - MEA (GF)'!$AP$41,'Results Flue gas - MEA (GF)'!$AP$44,'Results Flue gas - MEA (GF)'!$AP$47,'Results Flue gas - MEA (GF)'!$AP$50,'Results Flue gas - MEA (GF)'!$AP$53,'Results Flue gas - MEA (GF)'!$AP$56,'Results Flue gas - MEA (GF)'!$AP$59,'Results Flue gas - MEA (GF)'!$AP$62,'Results Flue gas - MEA (GF)'!$AP$65,'Results Flue gas - MEA (GF)'!$AP$68,'Results Flue gas - MEA (GF)'!$AP$71,'Results Flue gas - MEA (GF)'!$AP$74,'Results Flue gas - MEA (GF)'!$AP$77,'Results Flue gas - MEA (GF)'!$AP$80)</c:f>
              <c:numCache>
                <c:formatCode>0.0%</c:formatCode>
                <c:ptCount val="15"/>
                <c:pt idx="0">
                  <c:v>1.1858582065831104E-2</c:v>
                </c:pt>
                <c:pt idx="1">
                  <c:v>2.2031583909285029E-3</c:v>
                </c:pt>
                <c:pt idx="2">
                  <c:v>-1.1017634023696465E-3</c:v>
                </c:pt>
                <c:pt idx="3">
                  <c:v>5.4403627121038106E-2</c:v>
                </c:pt>
                <c:pt idx="4">
                  <c:v>1.8832088498880274E-2</c:v>
                </c:pt>
                <c:pt idx="5">
                  <c:v>5.5064653425663523E-3</c:v>
                </c:pt>
                <c:pt idx="6">
                  <c:v>1.516767224658809E-2</c:v>
                </c:pt>
                <c:pt idx="7">
                  <c:v>7.1455679785328713E-3</c:v>
                </c:pt>
                <c:pt idx="8">
                  <c:v>3.0151410395525619E-2</c:v>
                </c:pt>
                <c:pt idx="9">
                  <c:v>7.2229431975899955E-3</c:v>
                </c:pt>
                <c:pt idx="10">
                  <c:v>3.1463573378338321E-2</c:v>
                </c:pt>
                <c:pt idx="11">
                  <c:v>2.9335762981832257E-3</c:v>
                </c:pt>
                <c:pt idx="12">
                  <c:v>1.8668198278337791E-2</c:v>
                </c:pt>
                <c:pt idx="13">
                  <c:v>2.2751325972583065E-2</c:v>
                </c:pt>
                <c:pt idx="14">
                  <c:v>7.8366377288738576E-3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568-4289-91E1-ECE8DE0FA27A}"/>
            </c:ext>
          </c:extLst>
        </c:ser>
        <c:ser>
          <c:idx val="3"/>
          <c:order val="3"/>
          <c:tx>
            <c:strRef>
              <c:f>'Results Flue gas - MEA (GF)'!$AQ$35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(GF)'!$B$62:$B$76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Flue gas - MEA (GF)'!$AQ$38,'Results Flue gas - MEA (GF)'!$AQ$41,'Results Flue gas - MEA (GF)'!$AQ$44,'Results Flue gas - MEA (GF)'!$AQ$47,'Results Flue gas - MEA (GF)'!$AQ$50,'Results Flue gas - MEA (GF)'!$AQ$53,'Results Flue gas - MEA (GF)'!$AQ$56,'Results Flue gas - MEA (GF)'!$AQ$59,'Results Flue gas - MEA (GF)'!$AQ$62,'Results Flue gas - MEA (GF)'!$AQ$65,'Results Flue gas - MEA (GF)'!$AQ$68,'Results Flue gas - MEA (GF)'!$AQ$71,'Results Flue gas - MEA (GF)'!$AQ$74,'Results Flue gas - MEA (GF)'!$AQ$77,'Results Flue gas - MEA (GF)'!$AQ$80)</c:f>
              <c:numCache>
                <c:formatCode>0.0%</c:formatCode>
                <c:ptCount val="15"/>
                <c:pt idx="0">
                  <c:v>0.80157631885349101</c:v>
                </c:pt>
                <c:pt idx="1">
                  <c:v>0.53954258431651458</c:v>
                </c:pt>
                <c:pt idx="2">
                  <c:v>0.76260847371292462</c:v>
                </c:pt>
                <c:pt idx="3">
                  <c:v>0.88957961992689694</c:v>
                </c:pt>
                <c:pt idx="4">
                  <c:v>0.91637474211383574</c:v>
                </c:pt>
                <c:pt idx="5">
                  <c:v>0.89605966181878494</c:v>
                </c:pt>
                <c:pt idx="6">
                  <c:v>0.84215714816623466</c:v>
                </c:pt>
                <c:pt idx="7">
                  <c:v>0.90220764609933812</c:v>
                </c:pt>
                <c:pt idx="8">
                  <c:v>0.73579933636591244</c:v>
                </c:pt>
                <c:pt idx="9">
                  <c:v>0.52984459611892343</c:v>
                </c:pt>
                <c:pt idx="10">
                  <c:v>0.70796008955646961</c:v>
                </c:pt>
                <c:pt idx="11">
                  <c:v>0.35842743807904287</c:v>
                </c:pt>
                <c:pt idx="12">
                  <c:v>0.80840363373944824</c:v>
                </c:pt>
                <c:pt idx="13">
                  <c:v>0.88212094649681261</c:v>
                </c:pt>
                <c:pt idx="14">
                  <c:v>0.49264288440591736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568-4289-91E1-ECE8DE0FA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5537487"/>
        <c:axId val="1664588207"/>
      </c:barChart>
      <c:catAx>
        <c:axId val="83553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4588207"/>
        <c:crosses val="autoZero"/>
        <c:auto val="1"/>
        <c:lblAlgn val="ctr"/>
        <c:lblOffset val="100"/>
        <c:noMultiLvlLbl val="0"/>
      </c:catAx>
      <c:valAx>
        <c:axId val="16645882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553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SimaPro (GF)'!$N$4</c:f>
              <c:strCache>
                <c:ptCount val="1"/>
                <c:pt idx="0">
                  <c:v>Biostimulant delivery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(GF)'!$L$5:$L$19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SimaPro (GF)'!$N$5:$N$19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AC-431D-805F-9D0D4FD675B0}"/>
            </c:ext>
          </c:extLst>
        </c:ser>
        <c:ser>
          <c:idx val="1"/>
          <c:order val="1"/>
          <c:tx>
            <c:strRef>
              <c:f>'Results SimaPro (GF)'!$O$4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(GF)'!$L$5:$L$19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SimaPro (GF)'!$O$5:$O$19</c:f>
              <c:numCache>
                <c:formatCode>0%</c:formatCode>
                <c:ptCount val="15"/>
                <c:pt idx="0">
                  <c:v>0.96885811545898659</c:v>
                </c:pt>
                <c:pt idx="1">
                  <c:v>0.95917836550807423</c:v>
                </c:pt>
                <c:pt idx="2">
                  <c:v>0.96205052874463504</c:v>
                </c:pt>
                <c:pt idx="3">
                  <c:v>0.97556820419108592</c:v>
                </c:pt>
                <c:pt idx="4">
                  <c:v>0.93293293293191693</c:v>
                </c:pt>
                <c:pt idx="5">
                  <c:v>0.925840307129005</c:v>
                </c:pt>
                <c:pt idx="6">
                  <c:v>0.93890628409975951</c:v>
                </c:pt>
                <c:pt idx="7">
                  <c:v>0.917303673742624</c:v>
                </c:pt>
                <c:pt idx="8">
                  <c:v>0.96467970939387981</c:v>
                </c:pt>
                <c:pt idx="9">
                  <c:v>0.95390614120596007</c:v>
                </c:pt>
                <c:pt idx="10">
                  <c:v>0.97015703945379117</c:v>
                </c:pt>
                <c:pt idx="11">
                  <c:v>0.98268600842302289</c:v>
                </c:pt>
                <c:pt idx="12">
                  <c:v>0.9483004855113546</c:v>
                </c:pt>
                <c:pt idx="13">
                  <c:v>0.94806057131105981</c:v>
                </c:pt>
                <c:pt idx="14">
                  <c:v>0.97009885184502986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AC-431D-805F-9D0D4FD675B0}"/>
            </c:ext>
          </c:extLst>
        </c:ser>
        <c:ser>
          <c:idx val="2"/>
          <c:order val="2"/>
          <c:tx>
            <c:strRef>
              <c:f>'Results SimaPro (GF)'!$P$4</c:f>
              <c:strCache>
                <c:ptCount val="1"/>
                <c:pt idx="0">
                  <c:v>Final tank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(GF)'!$L$5:$L$19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SimaPro (GF)'!$P$5:$P$19</c:f>
              <c:numCache>
                <c:formatCode>0%</c:formatCode>
                <c:ptCount val="15"/>
                <c:pt idx="0">
                  <c:v>1.6544117373350997E-8</c:v>
                </c:pt>
                <c:pt idx="1">
                  <c:v>2.0535933674063209E-7</c:v>
                </c:pt>
                <c:pt idx="2">
                  <c:v>7.323568038886495E-8</c:v>
                </c:pt>
                <c:pt idx="3">
                  <c:v>2.4107945737835732E-6</c:v>
                </c:pt>
                <c:pt idx="4">
                  <c:v>1.0890890890879029E-12</c:v>
                </c:pt>
                <c:pt idx="5">
                  <c:v>3.4451942197973553E-6</c:v>
                </c:pt>
                <c:pt idx="6">
                  <c:v>2.6640511638277727E-5</c:v>
                </c:pt>
                <c:pt idx="7">
                  <c:v>1.0215427275770131E-8</c:v>
                </c:pt>
                <c:pt idx="8">
                  <c:v>2.0971298030301735E-7</c:v>
                </c:pt>
                <c:pt idx="9">
                  <c:v>0</c:v>
                </c:pt>
                <c:pt idx="10">
                  <c:v>2.2681602508609325E-6</c:v>
                </c:pt>
                <c:pt idx="11">
                  <c:v>0</c:v>
                </c:pt>
                <c:pt idx="12">
                  <c:v>6.7694944297045494E-11</c:v>
                </c:pt>
                <c:pt idx="13">
                  <c:v>3.5377995583850207E-4</c:v>
                </c:pt>
                <c:pt idx="14">
                  <c:v>7.3678393811014925E-3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AC-431D-805F-9D0D4FD675B0}"/>
            </c:ext>
          </c:extLst>
        </c:ser>
        <c:ser>
          <c:idx val="3"/>
          <c:order val="3"/>
          <c:tx>
            <c:strRef>
              <c:f>'Results SimaPro (GF)'!$Q$4</c:f>
              <c:strCache>
                <c:ptCount val="1"/>
                <c:pt idx="0">
                  <c:v>Transport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(GF)'!$L$5:$L$19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SimaPro (GF)'!$Q$5:$Q$19</c:f>
              <c:numCache>
                <c:formatCode>0%</c:formatCode>
                <c:ptCount val="15"/>
                <c:pt idx="0">
                  <c:v>3.1141867996895993E-2</c:v>
                </c:pt>
                <c:pt idx="1">
                  <c:v>4.0821429132589064E-2</c:v>
                </c:pt>
                <c:pt idx="2">
                  <c:v>3.7949398019684569E-2</c:v>
                </c:pt>
                <c:pt idx="3">
                  <c:v>2.4429385014340207E-2</c:v>
                </c:pt>
                <c:pt idx="4">
                  <c:v>6.7067067066994029E-2</c:v>
                </c:pt>
                <c:pt idx="5">
                  <c:v>7.4156247676775117E-2</c:v>
                </c:pt>
                <c:pt idx="6">
                  <c:v>6.1067075388602239E-2</c:v>
                </c:pt>
                <c:pt idx="7">
                  <c:v>8.2696316041948673E-2</c:v>
                </c:pt>
                <c:pt idx="8">
                  <c:v>3.5320080893139767E-2</c:v>
                </c:pt>
                <c:pt idx="9">
                  <c:v>4.6093858794039828E-2</c:v>
                </c:pt>
                <c:pt idx="10">
                  <c:v>2.984069238595799E-2</c:v>
                </c:pt>
                <c:pt idx="11">
                  <c:v>1.7313991576977071E-2</c:v>
                </c:pt>
                <c:pt idx="12">
                  <c:v>5.169951442095036E-2</c:v>
                </c:pt>
                <c:pt idx="13">
                  <c:v>5.1585648733101779E-2</c:v>
                </c:pt>
                <c:pt idx="14">
                  <c:v>2.2533308773868731E-2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AC-431D-805F-9D0D4FD67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6114735"/>
        <c:axId val="1862555151"/>
      </c:barChart>
      <c:catAx>
        <c:axId val="1526114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55151"/>
        <c:crosses val="autoZero"/>
        <c:auto val="1"/>
        <c:lblAlgn val="ctr"/>
        <c:lblOffset val="100"/>
        <c:noMultiLvlLbl val="0"/>
      </c:catAx>
      <c:valAx>
        <c:axId val="186255515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6114735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Flue gas - MEA (GF)'!$AF$35</c:f>
              <c:strCache>
                <c:ptCount val="1"/>
                <c:pt idx="0">
                  <c:v>Biostimulant delivery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(GF)'!$B$81:$B$95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Flue gas - MEA (GF)'!$AF$38,'Results Flue gas - MEA (GF)'!$AF$41,'Results Flue gas - MEA (GF)'!$AF$44,'Results Flue gas - MEA (GF)'!$AF$47,'Results Flue gas - MEA (GF)'!$AF$50,'Results Flue gas - MEA (GF)'!$AF$53,'Results Flue gas - MEA (GF)'!$AF$56,'Results Flue gas - MEA (GF)'!$AF$59,'Results Flue gas - MEA (GF)'!$AF$62,'Results Flue gas - MEA (GF)'!$AF$65,'Results Flue gas - MEA (GF)'!$AF$68,'Results Flue gas - MEA (GF)'!$AF$71,'Results Flue gas - MEA (GF)'!$AF$74,'Results Flue gas - MEA (GF)'!$AF$77,'Results Flue gas - MEA (GF)'!$AF$80)</c:f>
              <c:numCache>
                <c:formatCode>0.0%</c:formatCode>
                <c:ptCount val="15"/>
                <c:pt idx="0">
                  <c:v>3.121359052125976E-2</c:v>
                </c:pt>
                <c:pt idx="1">
                  <c:v>4.2731698345566588E-2</c:v>
                </c:pt>
                <c:pt idx="2">
                  <c:v>3.6832868734463432E-2</c:v>
                </c:pt>
                <c:pt idx="3">
                  <c:v>-0.33343509478095712</c:v>
                </c:pt>
                <c:pt idx="4">
                  <c:v>4.6327184613016353E-2</c:v>
                </c:pt>
                <c:pt idx="5">
                  <c:v>6.0910554567824522E-2</c:v>
                </c:pt>
                <c:pt idx="6">
                  <c:v>5.5883035731046887E-2</c:v>
                </c:pt>
                <c:pt idx="7">
                  <c:v>8.0280119833476105E-2</c:v>
                </c:pt>
                <c:pt idx="8">
                  <c:v>3.2995976480749846E-2</c:v>
                </c:pt>
                <c:pt idx="9">
                  <c:v>5.1586370995458083E-2</c:v>
                </c:pt>
                <c:pt idx="10">
                  <c:v>2.5772949763840602E-2</c:v>
                </c:pt>
                <c:pt idx="11">
                  <c:v>2.0161348493030529E-2</c:v>
                </c:pt>
                <c:pt idx="12">
                  <c:v>5.5413548007040139E-2</c:v>
                </c:pt>
                <c:pt idx="13">
                  <c:v>3.98853833948715E-2</c:v>
                </c:pt>
                <c:pt idx="14">
                  <c:v>4.4642209528005225E-2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DA4-4EFA-8B26-5841E0382E16}"/>
            </c:ext>
          </c:extLst>
        </c:ser>
        <c:ser>
          <c:idx val="1"/>
          <c:order val="1"/>
          <c:tx>
            <c:strRef>
              <c:f>'Results Flue gas - MEA (GF)'!$AG$35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(GF)'!$B$81:$B$95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Flue gas - MEA (GF)'!$AG$38,'Results Flue gas - MEA (GF)'!$AG$41,'Results Flue gas - MEA (GF)'!$AG$44,'Results Flue gas - MEA (GF)'!$AG$47,'Results Flue gas - MEA (GF)'!$AG$50,'Results Flue gas - MEA (GF)'!$AG$53,'Results Flue gas - MEA (GF)'!$AG$56,'Results Flue gas - MEA (GF)'!$AG$59,'Results Flue gas - MEA (GF)'!$AG$62,'Results Flue gas - MEA (GF)'!$AG$65,'Results Flue gas - MEA (GF)'!$AG$68,'Results Flue gas - MEA (GF)'!$AG$71,'Results Flue gas - MEA (GF)'!$AG$74,'Results Flue gas - MEA (GF)'!$AG$77,'Results Flue gas - MEA (GF)'!$AG$80)</c:f>
              <c:numCache>
                <c:formatCode>0.0%</c:formatCode>
                <c:ptCount val="15"/>
                <c:pt idx="0">
                  <c:v>0.17228495244998826</c:v>
                </c:pt>
                <c:pt idx="1">
                  <c:v>0.43682801416683298</c:v>
                </c:pt>
                <c:pt idx="2">
                  <c:v>0.21918254874983609</c:v>
                </c:pt>
                <c:pt idx="3">
                  <c:v>5.7191553887884425E-2</c:v>
                </c:pt>
                <c:pt idx="4">
                  <c:v>5.7150466168097568E-2</c:v>
                </c:pt>
                <c:pt idx="5">
                  <c:v>9.0271280082641514E-2</c:v>
                </c:pt>
                <c:pt idx="6">
                  <c:v>0.13002469893678145</c:v>
                </c:pt>
                <c:pt idx="7">
                  <c:v>8.1185413236713827E-2</c:v>
                </c:pt>
                <c:pt idx="8">
                  <c:v>0.2157284549570388</c:v>
                </c:pt>
                <c:pt idx="9">
                  <c:v>0.43649322433239046</c:v>
                </c:pt>
                <c:pt idx="10">
                  <c:v>0.24287623908026162</c:v>
                </c:pt>
                <c:pt idx="11">
                  <c:v>0.62307162259705473</c:v>
                </c:pt>
                <c:pt idx="12">
                  <c:v>0.15562575314947488</c:v>
                </c:pt>
                <c:pt idx="13">
                  <c:v>8.4401164789767169E-2</c:v>
                </c:pt>
                <c:pt idx="14">
                  <c:v>0.47443194387491638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A4-4EFA-8B26-5841E0382E16}"/>
            </c:ext>
          </c:extLst>
        </c:ser>
        <c:ser>
          <c:idx val="2"/>
          <c:order val="2"/>
          <c:tx>
            <c:strRef>
              <c:f>'Results Flue gas - MEA (GF)'!$AH$35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(GF)'!$B$81:$B$95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Flue gas - MEA (GF)'!$AH$38,'Results Flue gas - MEA (GF)'!$AH$41,'Results Flue gas - MEA (GF)'!$AH$44,'Results Flue gas - MEA (GF)'!$AH$47,'Results Flue gas - MEA (GF)'!$AH$50,'Results Flue gas - MEA (GF)'!$AH$53,'Results Flue gas - MEA (GF)'!$AH$56,'Results Flue gas - MEA (GF)'!$AH$59,'Results Flue gas - MEA (GF)'!$AH$62,'Results Flue gas - MEA (GF)'!$AH$65,'Results Flue gas - MEA (GF)'!$AH$68,'Results Flue gas - MEA (GF)'!$AH$71,'Results Flue gas - MEA (GF)'!$AH$74,'Results Flue gas - MEA (GF)'!$AH$77,'Results Flue gas - MEA (GF)'!$AH$80)</c:f>
              <c:numCache>
                <c:formatCode>0.0%</c:formatCode>
                <c:ptCount val="15"/>
                <c:pt idx="0">
                  <c:v>8.4567800224269411E-3</c:v>
                </c:pt>
                <c:pt idx="1">
                  <c:v>1.8442604375266782E-3</c:v>
                </c:pt>
                <c:pt idx="2">
                  <c:v>1.0526348906427362E-2</c:v>
                </c:pt>
                <c:pt idx="3">
                  <c:v>1.7503150394073557E-2</c:v>
                </c:pt>
                <c:pt idx="4">
                  <c:v>4.6410180993193724E-3</c:v>
                </c:pt>
                <c:pt idx="5">
                  <c:v>2.166930973146278E-3</c:v>
                </c:pt>
                <c:pt idx="6">
                  <c:v>4.6773584915920114E-3</c:v>
                </c:pt>
                <c:pt idx="7">
                  <c:v>2.1842378490672175E-3</c:v>
                </c:pt>
                <c:pt idx="8">
                  <c:v>1.059811462632659E-2</c:v>
                </c:pt>
                <c:pt idx="9">
                  <c:v>2.5582306884374215E-3</c:v>
                </c:pt>
                <c:pt idx="10">
                  <c:v>1.098427714010373E-2</c:v>
                </c:pt>
                <c:pt idx="11">
                  <c:v>2.6915398753428804E-3</c:v>
                </c:pt>
                <c:pt idx="12">
                  <c:v>7.719851494487299E-3</c:v>
                </c:pt>
                <c:pt idx="13">
                  <c:v>6.9323568567960956E-3</c:v>
                </c:pt>
                <c:pt idx="14">
                  <c:v>2.7888361539044255E-3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DA4-4EFA-8B26-5841E0382E16}"/>
            </c:ext>
          </c:extLst>
        </c:ser>
        <c:ser>
          <c:idx val="3"/>
          <c:order val="3"/>
          <c:tx>
            <c:strRef>
              <c:f>'Results Flue gas - MEA (GF)'!$AI$35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(GF)'!$B$81:$B$95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Flue gas - MEA (GF)'!$AI$38,'Results Flue gas - MEA (GF)'!$AI$41,'Results Flue gas - MEA (GF)'!$AI$44,'Results Flue gas - MEA (GF)'!$AI$47,'Results Flue gas - MEA (GF)'!$AI$50,'Results Flue gas - MEA (GF)'!$AI$53,'Results Flue gas - MEA (GF)'!$AI$56,'Results Flue gas - MEA (GF)'!$AI$59,'Results Flue gas - MEA (GF)'!$AI$62,'Results Flue gas - MEA (GF)'!$AI$65,'Results Flue gas - MEA (GF)'!$AI$68,'Results Flue gas - MEA (GF)'!$AI$71,'Results Flue gas - MEA (GF)'!$AI$74,'Results Flue gas - MEA (GF)'!$AI$77,'Results Flue gas - MEA (GF)'!$AI$80)</c:f>
              <c:numCache>
                <c:formatCode>0.0%</c:formatCode>
                <c:ptCount val="15"/>
                <c:pt idx="0">
                  <c:v>1.1488433141065546E-2</c:v>
                </c:pt>
                <c:pt idx="1">
                  <c:v>2.1090136911598775E-3</c:v>
                </c:pt>
                <c:pt idx="2">
                  <c:v>-1.061182295593751E-3</c:v>
                </c:pt>
                <c:pt idx="3">
                  <c:v>7.2543705686569357E-2</c:v>
                </c:pt>
                <c:pt idx="4">
                  <c:v>1.7959650858343886E-2</c:v>
                </c:pt>
                <c:pt idx="5">
                  <c:v>5.1710634848421934E-3</c:v>
                </c:pt>
                <c:pt idx="6">
                  <c:v>1.4320056676475174E-2</c:v>
                </c:pt>
                <c:pt idx="7">
                  <c:v>6.5719209249380127E-3</c:v>
                </c:pt>
                <c:pt idx="8">
                  <c:v>2.9156535167253445E-2</c:v>
                </c:pt>
                <c:pt idx="9">
                  <c:v>6.8503377701200257E-3</c:v>
                </c:pt>
                <c:pt idx="10">
                  <c:v>3.0652664282267584E-2</c:v>
                </c:pt>
                <c:pt idx="11">
                  <c:v>2.8744314441046504E-3</c:v>
                </c:pt>
                <c:pt idx="12">
                  <c:v>1.763372717683611E-2</c:v>
                </c:pt>
                <c:pt idx="13">
                  <c:v>2.1843880613424873E-2</c:v>
                </c:pt>
                <c:pt idx="14">
                  <c:v>7.4867929053864342E-3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DA4-4EFA-8B26-5841E0382E16}"/>
            </c:ext>
          </c:extLst>
        </c:ser>
        <c:ser>
          <c:idx val="4"/>
          <c:order val="4"/>
          <c:tx>
            <c:strRef>
              <c:f>'Results Flue gas - MEA (GF)'!$AJ$35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MEA (GF)'!$B$81:$B$95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Flue gas - MEA (GF)'!$AJ$38,'Results Flue gas - MEA (GF)'!$AJ$41,'Results Flue gas - MEA (GF)'!$AJ$44,'Results Flue gas - MEA (GF)'!$AJ$47,'Results Flue gas - MEA (GF)'!$AJ$50,'Results Flue gas - MEA (GF)'!$AJ$53,'Results Flue gas - MEA (GF)'!$AJ$56,'Results Flue gas - MEA (GF)'!$AJ$59,'Results Flue gas - MEA (GF)'!$AJ$62,'Results Flue gas - MEA (GF)'!$AJ$65,'Results Flue gas - MEA (GF)'!$AJ$68,'Results Flue gas - MEA (GF)'!$AJ$71,'Results Flue gas - MEA (GF)'!$AJ$74,'Results Flue gas - MEA (GF)'!$AJ$77,'Results Flue gas - MEA (GF)'!$AJ$80)</c:f>
              <c:numCache>
                <c:formatCode>0.0%</c:formatCode>
                <c:ptCount val="15"/>
                <c:pt idx="0">
                  <c:v>0.77655624386525945</c:v>
                </c:pt>
                <c:pt idx="1">
                  <c:v>0.51648701335891389</c:v>
                </c:pt>
                <c:pt idx="2">
                  <c:v>0.73451941590486691</c:v>
                </c:pt>
                <c:pt idx="3">
                  <c:v>1.1861966848124297</c:v>
                </c:pt>
                <c:pt idx="4">
                  <c:v>0.87392168026122286</c:v>
                </c:pt>
                <c:pt idx="5">
                  <c:v>0.84148017089154548</c:v>
                </c:pt>
                <c:pt idx="6">
                  <c:v>0.79509485016410442</c:v>
                </c:pt>
                <c:pt idx="7">
                  <c:v>0.82977830815580489</c:v>
                </c:pt>
                <c:pt idx="8">
                  <c:v>0.71152091876863133</c:v>
                </c:pt>
                <c:pt idx="9">
                  <c:v>0.50251183621359397</c:v>
                </c:pt>
                <c:pt idx="10">
                  <c:v>0.68971386973352644</c:v>
                </c:pt>
                <c:pt idx="11">
                  <c:v>0.35120105759046716</c:v>
                </c:pt>
                <c:pt idx="12">
                  <c:v>0.76360712017216159</c:v>
                </c:pt>
                <c:pt idx="13">
                  <c:v>0.84693721434514035</c:v>
                </c:pt>
                <c:pt idx="14">
                  <c:v>0.47065021753778752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DA4-4EFA-8B26-5841E0382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5537487"/>
        <c:axId val="1664588207"/>
      </c:barChart>
      <c:catAx>
        <c:axId val="83553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4588207"/>
        <c:crosses val="autoZero"/>
        <c:auto val="1"/>
        <c:lblAlgn val="ctr"/>
        <c:lblOffset val="100"/>
        <c:noMultiLvlLbl val="0"/>
      </c:catAx>
      <c:valAx>
        <c:axId val="16645882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553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Biogas - MEA (GF)'!$N$4</c:f>
              <c:strCache>
                <c:ptCount val="1"/>
                <c:pt idx="0">
                  <c:v>Biostimulant delivery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(GF)'!$L$5:$L$19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MEA (GF)'!$N$5:$N$19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48-490B-B9A5-0FBDDEA020E6}"/>
            </c:ext>
          </c:extLst>
        </c:ser>
        <c:ser>
          <c:idx val="1"/>
          <c:order val="1"/>
          <c:tx>
            <c:strRef>
              <c:f>'Results Biogas - MEA (GF)'!$O$4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(GF)'!$L$5:$L$19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MEA (GF)'!$O$5:$O$19</c:f>
              <c:numCache>
                <c:formatCode>0%</c:formatCode>
                <c:ptCount val="15"/>
                <c:pt idx="0">
                  <c:v>0.97527471246419717</c:v>
                </c:pt>
                <c:pt idx="1">
                  <c:v>0.95844996535075933</c:v>
                </c:pt>
                <c:pt idx="2">
                  <c:v>0.96291470011670977</c:v>
                </c:pt>
                <c:pt idx="3">
                  <c:v>0.9723710313403362</c:v>
                </c:pt>
                <c:pt idx="4">
                  <c:v>0.93488824100970147</c:v>
                </c:pt>
                <c:pt idx="5">
                  <c:v>0.93245470801936259</c:v>
                </c:pt>
                <c:pt idx="6">
                  <c:v>0.95333336948420111</c:v>
                </c:pt>
                <c:pt idx="7">
                  <c:v>0.91554292870228449</c:v>
                </c:pt>
                <c:pt idx="8">
                  <c:v>0.96617316747050541</c:v>
                </c:pt>
                <c:pt idx="9">
                  <c:v>0.9515444298052993</c:v>
                </c:pt>
                <c:pt idx="10">
                  <c:v>0.97074426680895676</c:v>
                </c:pt>
                <c:pt idx="11">
                  <c:v>0.98089829633453796</c:v>
                </c:pt>
                <c:pt idx="12">
                  <c:v>0.94873973372278342</c:v>
                </c:pt>
                <c:pt idx="13">
                  <c:v>0.95128660696335265</c:v>
                </c:pt>
                <c:pt idx="14">
                  <c:v>0.95723193114955651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48-490B-B9A5-0FBDDEA020E6}"/>
            </c:ext>
          </c:extLst>
        </c:ser>
        <c:ser>
          <c:idx val="2"/>
          <c:order val="2"/>
          <c:tx>
            <c:strRef>
              <c:f>'Results Biogas - MEA (GF)'!$P$4</c:f>
              <c:strCache>
                <c:ptCount val="1"/>
                <c:pt idx="0">
                  <c:v>Final tank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(GF)'!$L$5:$L$19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MEA (GF)'!$P$5:$P$19</c:f>
              <c:numCache>
                <c:formatCode>0%</c:formatCode>
                <c:ptCount val="15"/>
                <c:pt idx="0">
                  <c:v>1.3135302025266037E-8</c:v>
                </c:pt>
                <c:pt idx="1">
                  <c:v>2.0902366265628261E-7</c:v>
                </c:pt>
                <c:pt idx="2">
                  <c:v>7.1567984468133832E-8</c:v>
                </c:pt>
                <c:pt idx="3">
                  <c:v>2.7262739196458021E-6</c:v>
                </c:pt>
                <c:pt idx="4">
                  <c:v>1.0573372206014088E-12</c:v>
                </c:pt>
                <c:pt idx="5">
                  <c:v>3.1379128000303766E-6</c:v>
                </c:pt>
                <c:pt idx="6">
                  <c:v>2.0349440119265208E-5</c:v>
                </c:pt>
                <c:pt idx="7">
                  <c:v>1.0432931048002776E-8</c:v>
                </c:pt>
                <c:pt idx="8">
                  <c:v>2.0084562562297157E-7</c:v>
                </c:pt>
                <c:pt idx="9">
                  <c:v>0</c:v>
                </c:pt>
                <c:pt idx="10">
                  <c:v>2.2235290976232189E-6</c:v>
                </c:pt>
                <c:pt idx="11">
                  <c:v>0</c:v>
                </c:pt>
                <c:pt idx="12">
                  <c:v>6.7119796087253643E-11</c:v>
                </c:pt>
                <c:pt idx="13">
                  <c:v>3.3180615328790475E-4</c:v>
                </c:pt>
                <c:pt idx="14">
                  <c:v>1.0538333186967595E-2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48-490B-B9A5-0FBDDEA020E6}"/>
            </c:ext>
          </c:extLst>
        </c:ser>
        <c:ser>
          <c:idx val="3"/>
          <c:order val="3"/>
          <c:tx>
            <c:strRef>
              <c:f>'Results Biogas - MEA (GF)'!$Q$4</c:f>
              <c:strCache>
                <c:ptCount val="1"/>
                <c:pt idx="0">
                  <c:v>Transport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(GF)'!$L$5:$L$19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MEA (GF)'!$Q$5:$Q$19</c:f>
              <c:numCache>
                <c:formatCode>0%</c:formatCode>
                <c:ptCount val="15"/>
                <c:pt idx="0">
                  <c:v>2.4725274400500773E-2</c:v>
                </c:pt>
                <c:pt idx="1">
                  <c:v>4.154982562557813E-2</c:v>
                </c:pt>
                <c:pt idx="2">
                  <c:v>3.7085228315305717E-2</c:v>
                </c:pt>
                <c:pt idx="3">
                  <c:v>2.762624238574413E-2</c:v>
                </c:pt>
                <c:pt idx="4">
                  <c:v>6.5111758989241167E-2</c:v>
                </c:pt>
                <c:pt idx="5">
                  <c:v>6.7542154067837312E-2</c:v>
                </c:pt>
                <c:pt idx="6">
                  <c:v>4.6646281075679565E-2</c:v>
                </c:pt>
                <c:pt idx="7">
                  <c:v>8.4457060864784383E-2</c:v>
                </c:pt>
                <c:pt idx="8">
                  <c:v>3.3826631683868895E-2</c:v>
                </c:pt>
                <c:pt idx="9">
                  <c:v>4.8455570194700627E-2</c:v>
                </c:pt>
                <c:pt idx="10">
                  <c:v>2.9253509661945589E-2</c:v>
                </c:pt>
                <c:pt idx="11">
                  <c:v>1.9101703665462055E-2</c:v>
                </c:pt>
                <c:pt idx="12">
                  <c:v>5.1260266210096661E-2</c:v>
                </c:pt>
                <c:pt idx="13">
                  <c:v>4.8381586883359515E-2</c:v>
                </c:pt>
                <c:pt idx="14">
                  <c:v>3.2229735663475895E-2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48-490B-B9A5-0FBDDEA020E6}"/>
            </c:ext>
          </c:extLst>
        </c:ser>
        <c:ser>
          <c:idx val="4"/>
          <c:order val="4"/>
          <c:tx>
            <c:strRef>
              <c:f>'Results Biogas - MEA (GF)'!$R$4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(GF)'!$L$5:$L$19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MEA (GF)'!$R$5:$R$19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4-0948-490B-B9A5-0FBDDEA020E6}"/>
            </c:ext>
          </c:extLst>
        </c:ser>
        <c:ser>
          <c:idx val="5"/>
          <c:order val="5"/>
          <c:tx>
            <c:strRef>
              <c:f>'Results Biogas - MEA (GF)'!$S$4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(GF)'!$L$5:$L$19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MEA (GF)'!$S$5:$S$19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5-0948-490B-B9A5-0FBDDEA02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6114735"/>
        <c:axId val="1862555151"/>
      </c:barChart>
      <c:catAx>
        <c:axId val="1526114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55151"/>
        <c:crosses val="autoZero"/>
        <c:auto val="1"/>
        <c:lblAlgn val="ctr"/>
        <c:lblOffset val="100"/>
        <c:noMultiLvlLbl val="0"/>
      </c:catAx>
      <c:valAx>
        <c:axId val="186255515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6114735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Biogas - MEA (GF)'!$N$23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MEA (GF)'!$N$24:$N$38</c:f>
              <c:numCache>
                <c:formatCode>0%</c:formatCode>
                <c:ptCount val="15"/>
                <c:pt idx="0">
                  <c:v>0.86257192862530863</c:v>
                </c:pt>
                <c:pt idx="1">
                  <c:v>0.54409551677814716</c:v>
                </c:pt>
                <c:pt idx="2">
                  <c:v>0.7727700129473255</c:v>
                </c:pt>
                <c:pt idx="3">
                  <c:v>0.95099749628535823</c:v>
                </c:pt>
                <c:pt idx="4">
                  <c:v>0.91216215333864947</c:v>
                </c:pt>
                <c:pt idx="5">
                  <c:v>0.89342738368433749</c:v>
                </c:pt>
                <c:pt idx="6">
                  <c:v>0.88560452208606888</c:v>
                </c:pt>
                <c:pt idx="7">
                  <c:v>0.90817434316930579</c:v>
                </c:pt>
                <c:pt idx="8">
                  <c:v>0.77520811011518942</c:v>
                </c:pt>
                <c:pt idx="9">
                  <c:v>0.53707585730663343</c:v>
                </c:pt>
                <c:pt idx="10">
                  <c:v>0.74235566683261911</c:v>
                </c:pt>
                <c:pt idx="11">
                  <c:v>0.33584485197577379</c:v>
                </c:pt>
                <c:pt idx="12">
                  <c:v>0.84797924095303012</c:v>
                </c:pt>
                <c:pt idx="13">
                  <c:v>0.89249219134053548</c:v>
                </c:pt>
                <c:pt idx="14">
                  <c:v>0.55262930454509707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6-4505-B715-090CD8D53CB2}"/>
            </c:ext>
          </c:extLst>
        </c:ser>
        <c:ser>
          <c:idx val="1"/>
          <c:order val="1"/>
          <c:tx>
            <c:strRef>
              <c:f>'Results Biogas - MEA (GF)'!$O$23</c:f>
              <c:strCache>
                <c:ptCount val="1"/>
                <c:pt idx="0">
                  <c:v>Phosphate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MEA (GF)'!$O$24:$O$38</c:f>
              <c:numCache>
                <c:formatCode>0%</c:formatCode>
                <c:ptCount val="15"/>
                <c:pt idx="0">
                  <c:v>0.13468527651843282</c:v>
                </c:pt>
                <c:pt idx="1">
                  <c:v>0.45506356846154922</c:v>
                </c:pt>
                <c:pt idx="2">
                  <c:v>0.21922039371352187</c:v>
                </c:pt>
                <c:pt idx="3">
                  <c:v>4.2838897783156193E-2</c:v>
                </c:pt>
                <c:pt idx="4">
                  <c:v>8.4918623651497049E-2</c:v>
                </c:pt>
                <c:pt idx="5">
                  <c:v>8.321796767119663E-2</c:v>
                </c:pt>
                <c:pt idx="6">
                  <c:v>0.11271630893120847</c:v>
                </c:pt>
                <c:pt idx="7">
                  <c:v>9.0779925567671615E-2</c:v>
                </c:pt>
                <c:pt idx="8">
                  <c:v>0.21466964702529248</c:v>
                </c:pt>
                <c:pt idx="9">
                  <c:v>0.4617590410643907</c:v>
                </c:pt>
                <c:pt idx="10">
                  <c:v>0.24693411972893989</c:v>
                </c:pt>
                <c:pt idx="11">
                  <c:v>0.57342226322342205</c:v>
                </c:pt>
                <c:pt idx="12">
                  <c:v>0.12604222916923022</c:v>
                </c:pt>
                <c:pt idx="13">
                  <c:v>8.3281662314313776E-2</c:v>
                </c:pt>
                <c:pt idx="14">
                  <c:v>0.44443551722493058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46-4505-B715-090CD8D53CB2}"/>
            </c:ext>
          </c:extLst>
        </c:ser>
        <c:ser>
          <c:idx val="2"/>
          <c:order val="2"/>
          <c:tx>
            <c:strRef>
              <c:f>'Results Biogas - MEA (GF)'!$P$23</c:f>
              <c:strCache>
                <c:ptCount val="1"/>
                <c:pt idx="0">
                  <c:v>Enzyme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MEA (GF)'!$P$24:$P$38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5.6832365359873451E-4</c:v>
                </c:pt>
                <c:pt idx="3">
                  <c:v>0</c:v>
                </c:pt>
                <c:pt idx="4">
                  <c:v>0</c:v>
                </c:pt>
                <c:pt idx="5">
                  <c:v>6.6818040376813489E-3</c:v>
                </c:pt>
                <c:pt idx="6">
                  <c:v>4.3789838597659611E-11</c:v>
                </c:pt>
                <c:pt idx="7">
                  <c:v>4.3572653090696394E-10</c:v>
                </c:pt>
                <c:pt idx="8">
                  <c:v>4.7294928460996522E-4</c:v>
                </c:pt>
                <c:pt idx="9">
                  <c:v>0</c:v>
                </c:pt>
                <c:pt idx="10">
                  <c:v>1.4555019449805705E-3</c:v>
                </c:pt>
                <c:pt idx="11">
                  <c:v>8.9561549413609401E-2</c:v>
                </c:pt>
                <c:pt idx="12">
                  <c:v>5.5302212091299123E-3</c:v>
                </c:pt>
                <c:pt idx="13">
                  <c:v>3.7098076368804415E-3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46-4505-B715-090CD8D53CB2}"/>
            </c:ext>
          </c:extLst>
        </c:ser>
        <c:ser>
          <c:idx val="3"/>
          <c:order val="3"/>
          <c:tx>
            <c:strRef>
              <c:f>'Results Biogas - MEA (GF)'!$Q$23</c:f>
              <c:strCache>
                <c:ptCount val="1"/>
                <c:pt idx="0">
                  <c:v>Reactor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MEA (GF)'!$Q$24:$Q$38</c:f>
              <c:numCache>
                <c:formatCode>0%</c:formatCode>
                <c:ptCount val="15"/>
                <c:pt idx="0">
                  <c:v>2.2430645165111095E-9</c:v>
                </c:pt>
                <c:pt idx="1">
                  <c:v>3.6320679241612044E-8</c:v>
                </c:pt>
                <c:pt idx="2">
                  <c:v>1.2377799385277296E-8</c:v>
                </c:pt>
                <c:pt idx="3">
                  <c:v>3.2525948898390059E-7</c:v>
                </c:pt>
                <c:pt idx="4">
                  <c:v>1.8867782444768881E-13</c:v>
                </c:pt>
                <c:pt idx="5">
                  <c:v>5.5870869677626042E-7</c:v>
                </c:pt>
                <c:pt idx="6">
                  <c:v>3.5662648115775202E-6</c:v>
                </c:pt>
                <c:pt idx="7">
                  <c:v>1.8907114767772997E-9</c:v>
                </c:pt>
                <c:pt idx="8">
                  <c:v>3.4657740059009803E-8</c:v>
                </c:pt>
                <c:pt idx="9">
                  <c:v>0</c:v>
                </c:pt>
                <c:pt idx="10">
                  <c:v>3.8058447385128792E-7</c:v>
                </c:pt>
                <c:pt idx="11">
                  <c:v>0</c:v>
                </c:pt>
                <c:pt idx="12">
                  <c:v>1.1820842629503129E-11</c:v>
                </c:pt>
                <c:pt idx="13">
                  <c:v>5.8164876083434829E-5</c:v>
                </c:pt>
                <c:pt idx="14">
                  <c:v>1.8409238853233827E-3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46-4505-B715-090CD8D53CB2}"/>
            </c:ext>
          </c:extLst>
        </c:ser>
        <c:ser>
          <c:idx val="4"/>
          <c:order val="4"/>
          <c:tx>
            <c:strRef>
              <c:f>'Results Biogas - MEA (GF)'!$R$23</c:f>
              <c:strCache>
                <c:ptCount val="1"/>
                <c:pt idx="0">
                  <c:v>Steam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MEA (GF)'!$R$24:$R$38</c:f>
              <c:numCache>
                <c:formatCode>0%</c:formatCode>
                <c:ptCount val="15"/>
                <c:pt idx="0">
                  <c:v>2.0995574496994622E-5</c:v>
                </c:pt>
                <c:pt idx="1">
                  <c:v>6.4259039078267595E-5</c:v>
                </c:pt>
                <c:pt idx="2">
                  <c:v>3.0381523876407083E-3</c:v>
                </c:pt>
                <c:pt idx="3">
                  <c:v>1.123072347611087E-4</c:v>
                </c:pt>
                <c:pt idx="4">
                  <c:v>4.1083630485331613E-5</c:v>
                </c:pt>
                <c:pt idx="5">
                  <c:v>1.56400550913629E-2</c:v>
                </c:pt>
                <c:pt idx="6">
                  <c:v>1.5227221537232466E-5</c:v>
                </c:pt>
                <c:pt idx="7">
                  <c:v>4.8927601849570663E-5</c:v>
                </c:pt>
                <c:pt idx="8">
                  <c:v>5.1934719818816618E-3</c:v>
                </c:pt>
                <c:pt idx="9">
                  <c:v>7.0402359491123035E-5</c:v>
                </c:pt>
                <c:pt idx="10">
                  <c:v>4.5529055705381648E-3</c:v>
                </c:pt>
                <c:pt idx="11">
                  <c:v>1.37377550322896E-5</c:v>
                </c:pt>
                <c:pt idx="12">
                  <c:v>1.7405651480644251E-2</c:v>
                </c:pt>
                <c:pt idx="13">
                  <c:v>1.6895343604642336E-2</c:v>
                </c:pt>
                <c:pt idx="14">
                  <c:v>3.3196283551917798E-5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46-4505-B715-090CD8D53CB2}"/>
            </c:ext>
          </c:extLst>
        </c:ser>
        <c:ser>
          <c:idx val="5"/>
          <c:order val="5"/>
          <c:tx>
            <c:strRef>
              <c:f>'Results Biogas - MEA (GF)'!$S$23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MEA (GF)'!$S$24:$S$38</c:f>
              <c:numCache>
                <c:formatCode>0%</c:formatCode>
                <c:ptCount val="15"/>
                <c:pt idx="0">
                  <c:v>2.7217970386970367E-3</c:v>
                </c:pt>
                <c:pt idx="1">
                  <c:v>7.7661940054634196E-4</c:v>
                </c:pt>
                <c:pt idx="2">
                  <c:v>4.4031049201138138E-3</c:v>
                </c:pt>
                <c:pt idx="3">
                  <c:v>6.0509734372355519E-3</c:v>
                </c:pt>
                <c:pt idx="4">
                  <c:v>2.8781393791794427E-3</c:v>
                </c:pt>
                <c:pt idx="5">
                  <c:v>1.0322308067247062E-3</c:v>
                </c:pt>
                <c:pt idx="6">
                  <c:v>1.6603754525838545E-3</c:v>
                </c:pt>
                <c:pt idx="7">
                  <c:v>9.9680133473509366E-4</c:v>
                </c:pt>
                <c:pt idx="8">
                  <c:v>4.4557869352862952E-3</c:v>
                </c:pt>
                <c:pt idx="9">
                  <c:v>1.094699269484688E-3</c:v>
                </c:pt>
                <c:pt idx="10">
                  <c:v>4.7014253384484459E-3</c:v>
                </c:pt>
                <c:pt idx="11">
                  <c:v>1.1575976321624739E-3</c:v>
                </c:pt>
                <c:pt idx="12">
                  <c:v>3.0426571761449079E-3</c:v>
                </c:pt>
                <c:pt idx="13">
                  <c:v>3.5628302275445083E-3</c:v>
                </c:pt>
                <c:pt idx="14">
                  <c:v>1.0610580610971674E-3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046-4505-B715-090CD8D53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2589263"/>
        <c:axId val="1862564271"/>
      </c:barChart>
      <c:catAx>
        <c:axId val="1422589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64271"/>
        <c:crosses val="autoZero"/>
        <c:auto val="1"/>
        <c:lblAlgn val="ctr"/>
        <c:lblOffset val="100"/>
        <c:noMultiLvlLbl val="0"/>
      </c:catAx>
      <c:valAx>
        <c:axId val="186256427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22589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Biogas - MEA (GF)'!$K$42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(GF)'!$H$43:$H$57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MEA (GF)'!$K$43:$K$57</c:f>
              <c:numCache>
                <c:formatCode>0%</c:formatCode>
                <c:ptCount val="15"/>
                <c:pt idx="0">
                  <c:v>7.8205593792713048E-3</c:v>
                </c:pt>
                <c:pt idx="1">
                  <c:v>3.5376143200605867E-3</c:v>
                </c:pt>
                <c:pt idx="2">
                  <c:v>1.4121706169702897E-2</c:v>
                </c:pt>
                <c:pt idx="3">
                  <c:v>1.5769692492272371E-2</c:v>
                </c:pt>
                <c:pt idx="4">
                  <c:v>7.8199345200529857E-3</c:v>
                </c:pt>
                <c:pt idx="5">
                  <c:v>2.8633988381184194E-3</c:v>
                </c:pt>
                <c:pt idx="6">
                  <c:v>4.6466914130863747E-3</c:v>
                </c:pt>
                <c:pt idx="7">
                  <c:v>2.7202996013080748E-3</c:v>
                </c:pt>
                <c:pt idx="8">
                  <c:v>1.4245690684412669E-2</c:v>
                </c:pt>
                <c:pt idx="9">
                  <c:v>5.0516865859114336E-3</c:v>
                </c:pt>
                <c:pt idx="10">
                  <c:v>1.5696217904489752E-2</c:v>
                </c:pt>
                <c:pt idx="11">
                  <c:v>8.5426712578666446E-3</c:v>
                </c:pt>
                <c:pt idx="12">
                  <c:v>8.8929357744827811E-3</c:v>
                </c:pt>
                <c:pt idx="13">
                  <c:v>9.8939122723378063E-3</c:v>
                </c:pt>
                <c:pt idx="14">
                  <c:v>4.7586383375669717E-3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B-48A3-B603-C42B5DE5A9CD}"/>
            </c:ext>
          </c:extLst>
        </c:ser>
        <c:ser>
          <c:idx val="1"/>
          <c:order val="1"/>
          <c:tx>
            <c:strRef>
              <c:f>'Results Biogas - MEA (GF)'!$J$42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(GF)'!$H$43:$H$57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MEA (GF)'!$J$43:$J$57</c:f>
              <c:numCache>
                <c:formatCode>0%</c:formatCode>
                <c:ptCount val="15"/>
                <c:pt idx="0">
                  <c:v>0.9921794406207286</c:v>
                </c:pt>
                <c:pt idx="1">
                  <c:v>0.99646238567993939</c:v>
                </c:pt>
                <c:pt idx="2">
                  <c:v>0.98587829383029713</c:v>
                </c:pt>
                <c:pt idx="3">
                  <c:v>0.98423030750772755</c:v>
                </c:pt>
                <c:pt idx="4">
                  <c:v>0.99218006547994697</c:v>
                </c:pt>
                <c:pt idx="5">
                  <c:v>0.99713660116188163</c:v>
                </c:pt>
                <c:pt idx="6">
                  <c:v>0.99535330858691351</c:v>
                </c:pt>
                <c:pt idx="7">
                  <c:v>0.99727970039869196</c:v>
                </c:pt>
                <c:pt idx="8">
                  <c:v>0.98575430931558738</c:v>
                </c:pt>
                <c:pt idx="9">
                  <c:v>0.99494831341408851</c:v>
                </c:pt>
                <c:pt idx="10">
                  <c:v>0.98430378209551028</c:v>
                </c:pt>
                <c:pt idx="11">
                  <c:v>0.99145732874213333</c:v>
                </c:pt>
                <c:pt idx="12">
                  <c:v>0.99110706422551731</c:v>
                </c:pt>
                <c:pt idx="13">
                  <c:v>0.99010608772766218</c:v>
                </c:pt>
                <c:pt idx="14">
                  <c:v>0.99524136166243304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B-48A3-B603-C42B5DE5A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6114735"/>
        <c:axId val="1862555151"/>
      </c:barChart>
      <c:catAx>
        <c:axId val="1526114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55151"/>
        <c:crosses val="autoZero"/>
        <c:auto val="1"/>
        <c:lblAlgn val="ctr"/>
        <c:lblOffset val="100"/>
        <c:noMultiLvlLbl val="0"/>
      </c:catAx>
      <c:valAx>
        <c:axId val="186255515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6114735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Biogas - MEA (GF)'!$L$61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(GF)'!$I$62:$I$76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MEA (GF)'!$L$62:$L$76</c:f>
              <c:numCache>
                <c:formatCode>0%</c:formatCode>
                <c:ptCount val="15"/>
                <c:pt idx="0">
                  <c:v>3.6250987360735454E-2</c:v>
                </c:pt>
                <c:pt idx="1">
                  <c:v>1.6550133465569602E-2</c:v>
                </c:pt>
                <c:pt idx="2">
                  <c:v>6.3254555338583845E-2</c:v>
                </c:pt>
                <c:pt idx="3">
                  <c:v>7.4949211770672569E-2</c:v>
                </c:pt>
                <c:pt idx="4">
                  <c:v>3.6960485305683938E-2</c:v>
                </c:pt>
                <c:pt idx="5">
                  <c:v>1.3466709615270045E-2</c:v>
                </c:pt>
                <c:pt idx="6">
                  <c:v>2.186996075463097E-2</c:v>
                </c:pt>
                <c:pt idx="7">
                  <c:v>1.2817668133224708E-2</c:v>
                </c:pt>
                <c:pt idx="8">
                  <c:v>6.6337168085408543E-2</c:v>
                </c:pt>
                <c:pt idx="9">
                  <c:v>2.3723926925147739E-2</c:v>
                </c:pt>
                <c:pt idx="10">
                  <c:v>7.3035071391585493E-2</c:v>
                </c:pt>
                <c:pt idx="11">
                  <c:v>3.9435624795846058E-2</c:v>
                </c:pt>
                <c:pt idx="12">
                  <c:v>4.1453776316809687E-2</c:v>
                </c:pt>
                <c:pt idx="13">
                  <c:v>4.6447105050189542E-2</c:v>
                </c:pt>
                <c:pt idx="14">
                  <c:v>2.2355216891005645E-2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AB-4EF9-82BF-EE2C1DC672C7}"/>
            </c:ext>
          </c:extLst>
        </c:ser>
        <c:ser>
          <c:idx val="1"/>
          <c:order val="1"/>
          <c:tx>
            <c:strRef>
              <c:f>'Results Biogas - MEA (GF)'!$K$61</c:f>
              <c:strCache>
                <c:ptCount val="1"/>
                <c:pt idx="0">
                  <c:v>Biomass cultivation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(GF)'!$I$62:$I$76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MEA (GF)'!$K$62:$K$76</c:f>
              <c:numCache>
                <c:formatCode>0%</c:formatCode>
                <c:ptCount val="15"/>
                <c:pt idx="0">
                  <c:v>0.96374901263926449</c:v>
                </c:pt>
                <c:pt idx="1">
                  <c:v>0.98344986653443034</c:v>
                </c:pt>
                <c:pt idx="2">
                  <c:v>0.93674544466141618</c:v>
                </c:pt>
                <c:pt idx="3">
                  <c:v>0.92505078822932751</c:v>
                </c:pt>
                <c:pt idx="4">
                  <c:v>0.96303951469431603</c:v>
                </c:pt>
                <c:pt idx="5">
                  <c:v>0.98653329038472992</c:v>
                </c:pt>
                <c:pt idx="6">
                  <c:v>0.9781300392453689</c:v>
                </c:pt>
                <c:pt idx="7">
                  <c:v>0.98718233186677529</c:v>
                </c:pt>
                <c:pt idx="8">
                  <c:v>0.93366283191459154</c:v>
                </c:pt>
                <c:pt idx="9">
                  <c:v>0.9762760730748522</c:v>
                </c:pt>
                <c:pt idx="10">
                  <c:v>0.92696492860841451</c:v>
                </c:pt>
                <c:pt idx="11">
                  <c:v>0.96056437520415394</c:v>
                </c:pt>
                <c:pt idx="12">
                  <c:v>0.95854622368319031</c:v>
                </c:pt>
                <c:pt idx="13">
                  <c:v>0.95355289494981044</c:v>
                </c:pt>
                <c:pt idx="14">
                  <c:v>0.97764478310899439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AB-4EF9-82BF-EE2C1DC672C7}"/>
            </c:ext>
          </c:extLst>
        </c:ser>
        <c:ser>
          <c:idx val="2"/>
          <c:order val="2"/>
          <c:tx>
            <c:strRef>
              <c:f>'Results Biogas - MEA (GF)'!$M$61</c:f>
              <c:strCache>
                <c:ptCount val="1"/>
                <c:pt idx="0">
                  <c:v>Irrigation water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(GF)'!$I$62:$I$76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MEA (GF)'!$M$62:$M$76</c:f>
              <c:numCache>
                <c:formatCode>0%</c:formatCode>
                <c:ptCount val="15"/>
                <c:pt idx="0">
                  <c:v>-2.5819583582464126E-2</c:v>
                </c:pt>
                <c:pt idx="1">
                  <c:v>-1.2541229115982804E-2</c:v>
                </c:pt>
                <c:pt idx="2">
                  <c:v>-6.4605292999327199E-2</c:v>
                </c:pt>
                <c:pt idx="3">
                  <c:v>-9.1504503065573863E-3</c:v>
                </c:pt>
                <c:pt idx="4">
                  <c:v>-6.6639155819091696E-3</c:v>
                </c:pt>
                <c:pt idx="5">
                  <c:v>-6.659642079264407E-3</c:v>
                </c:pt>
                <c:pt idx="6">
                  <c:v>-7.6872509023190082E-3</c:v>
                </c:pt>
                <c:pt idx="7">
                  <c:v>-4.6486744774473926E-3</c:v>
                </c:pt>
                <c:pt idx="8">
                  <c:v>-2.7679878566487712E-2</c:v>
                </c:pt>
                <c:pt idx="9">
                  <c:v>-1.0267618299723832E-2</c:v>
                </c:pt>
                <c:pt idx="10">
                  <c:v>-2.986374967818059E-2</c:v>
                </c:pt>
                <c:pt idx="11">
                  <c:v>-3.0514655352447798E-2</c:v>
                </c:pt>
                <c:pt idx="12">
                  <c:v>-2.1396756371140989E-2</c:v>
                </c:pt>
                <c:pt idx="13">
                  <c:v>-1.5446178797639312E-2</c:v>
                </c:pt>
                <c:pt idx="14">
                  <c:v>-9.6430716330884927E-3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AB-4EF9-82BF-EE2C1DC67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6114735"/>
        <c:axId val="1862555151"/>
      </c:barChart>
      <c:catAx>
        <c:axId val="1526114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55151"/>
        <c:crosses val="autoZero"/>
        <c:auto val="1"/>
        <c:lblAlgn val="ctr"/>
        <c:lblOffset val="100"/>
        <c:noMultiLvlLbl val="0"/>
      </c:catAx>
      <c:valAx>
        <c:axId val="186255515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6114735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Biogas - MEA (GF)'!$N$80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MEA (GF)'!$N$81:$N$95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32-4CDC-9EE6-3FAE0ED3F925}"/>
            </c:ext>
          </c:extLst>
        </c:ser>
        <c:ser>
          <c:idx val="1"/>
          <c:order val="1"/>
          <c:tx>
            <c:strRef>
              <c:f>'Results Biogas - MEA (GF)'!$O$80</c:f>
              <c:strCache>
                <c:ptCount val="1"/>
                <c:pt idx="0">
                  <c:v>Pig manure (transport)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MEA (GF)'!$O$81:$O$95</c:f>
              <c:numCache>
                <c:formatCode>0%</c:formatCode>
                <c:ptCount val="15"/>
                <c:pt idx="0">
                  <c:v>0.24990010017136866</c:v>
                </c:pt>
                <c:pt idx="1">
                  <c:v>0.66766240392058918</c:v>
                </c:pt>
                <c:pt idx="2">
                  <c:v>0.4198874408892862</c:v>
                </c:pt>
                <c:pt idx="3">
                  <c:v>0.53841863986580796</c:v>
                </c:pt>
                <c:pt idx="4">
                  <c:v>0.66145727719793468</c:v>
                </c:pt>
                <c:pt idx="5">
                  <c:v>0.67980594227159574</c:v>
                </c:pt>
                <c:pt idx="6">
                  <c:v>0.47040043477308063</c:v>
                </c:pt>
                <c:pt idx="7">
                  <c:v>0.85155512016229484</c:v>
                </c:pt>
                <c:pt idx="8">
                  <c:v>0.39777791377911531</c:v>
                </c:pt>
                <c:pt idx="9">
                  <c:v>0.8077925993775219</c:v>
                </c:pt>
                <c:pt idx="10">
                  <c:v>0.3582226877211126</c:v>
                </c:pt>
                <c:pt idx="11">
                  <c:v>0.49475455644557181</c:v>
                </c:pt>
                <c:pt idx="12">
                  <c:v>0.54692231745208286</c:v>
                </c:pt>
                <c:pt idx="13">
                  <c:v>0.49657025253473763</c:v>
                </c:pt>
                <c:pt idx="14">
                  <c:v>0.51642965630288085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32-4CDC-9EE6-3FAE0ED3F925}"/>
            </c:ext>
          </c:extLst>
        </c:ser>
        <c:ser>
          <c:idx val="2"/>
          <c:order val="2"/>
          <c:tx>
            <c:strRef>
              <c:f>'Results Biogas - MEA (GF)'!$P$80</c:f>
              <c:strCache>
                <c:ptCount val="1"/>
                <c:pt idx="0">
                  <c:v>CO2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MEA (GF)'!$P$81:$P$95</c:f>
              <c:numCache>
                <c:formatCode>0%</c:formatCode>
                <c:ptCount val="15"/>
                <c:pt idx="0">
                  <c:v>0.44366322131873426</c:v>
                </c:pt>
                <c:pt idx="1">
                  <c:v>0.11614320273988385</c:v>
                </c:pt>
                <c:pt idx="2">
                  <c:v>0.27581597034562283</c:v>
                </c:pt>
                <c:pt idx="3">
                  <c:v>0.13072183323665049</c:v>
                </c:pt>
                <c:pt idx="4">
                  <c:v>0.17818005404519366</c:v>
                </c:pt>
                <c:pt idx="5">
                  <c:v>0.22006265132505862</c:v>
                </c:pt>
                <c:pt idx="6">
                  <c:v>0.42120823244386957</c:v>
                </c:pt>
                <c:pt idx="7">
                  <c:v>7.9179686611581798E-2</c:v>
                </c:pt>
                <c:pt idx="8">
                  <c:v>0.29378368795450999</c:v>
                </c:pt>
                <c:pt idx="9">
                  <c:v>7.084111754793411E-2</c:v>
                </c:pt>
                <c:pt idx="10">
                  <c:v>0.306086991386115</c:v>
                </c:pt>
                <c:pt idx="11">
                  <c:v>0.26479821330889758</c:v>
                </c:pt>
                <c:pt idx="12">
                  <c:v>0.25733801526358119</c:v>
                </c:pt>
                <c:pt idx="13">
                  <c:v>0.29199729638486333</c:v>
                </c:pt>
                <c:pt idx="14">
                  <c:v>0.29720453154752685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32-4CDC-9EE6-3FAE0ED3F925}"/>
            </c:ext>
          </c:extLst>
        </c:ser>
        <c:ser>
          <c:idx val="3"/>
          <c:order val="3"/>
          <c:tx>
            <c:strRef>
              <c:f>'Results Biogas - MEA (GF)'!$Q$80</c:f>
              <c:strCache>
                <c:ptCount val="1"/>
                <c:pt idx="0">
                  <c:v>Water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MEA (GF)'!$Q$81:$Q$95</c:f>
              <c:numCache>
                <c:formatCode>0%</c:formatCode>
                <c:ptCount val="15"/>
                <c:pt idx="0">
                  <c:v>0.16935638339663955</c:v>
                </c:pt>
                <c:pt idx="1">
                  <c:v>9.7907932025148955E-2</c:v>
                </c:pt>
                <c:pt idx="2">
                  <c:v>7.2623269514808131E-2</c:v>
                </c:pt>
                <c:pt idx="3">
                  <c:v>6.7332350446370121E-2</c:v>
                </c:pt>
                <c:pt idx="4">
                  <c:v>3.3734321137094667E-2</c:v>
                </c:pt>
                <c:pt idx="5">
                  <c:v>5.1049843849342712E-2</c:v>
                </c:pt>
                <c:pt idx="6">
                  <c:v>3.2497587902940786E-2</c:v>
                </c:pt>
                <c:pt idx="7">
                  <c:v>2.4093520955563139E-2</c:v>
                </c:pt>
                <c:pt idx="8">
                  <c:v>6.5720268947786945E-2</c:v>
                </c:pt>
                <c:pt idx="9">
                  <c:v>4.0198797249058484E-2</c:v>
                </c:pt>
                <c:pt idx="10">
                  <c:v>6.9164997462463157E-2</c:v>
                </c:pt>
                <c:pt idx="11">
                  <c:v>0.10020800596492818</c:v>
                </c:pt>
                <c:pt idx="12">
                  <c:v>5.0304600564980359E-2</c:v>
                </c:pt>
                <c:pt idx="13">
                  <c:v>4.9463514973337216E-2</c:v>
                </c:pt>
                <c:pt idx="14">
                  <c:v>9.3944161642235249E-2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32-4CDC-9EE6-3FAE0ED3F925}"/>
            </c:ext>
          </c:extLst>
        </c:ser>
        <c:ser>
          <c:idx val="4"/>
          <c:order val="4"/>
          <c:tx>
            <c:strRef>
              <c:f>'Results Biogas - MEA (GF)'!$R$80</c:f>
              <c:strCache>
                <c:ptCount val="1"/>
                <c:pt idx="0">
                  <c:v>Thin-layer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MEA (GF)'!$R$81:$R$95</c:f>
              <c:numCache>
                <c:formatCode>0%</c:formatCode>
                <c:ptCount val="15"/>
                <c:pt idx="0">
                  <c:v>1.6064925726512153E-2</c:v>
                </c:pt>
                <c:pt idx="1">
                  <c:v>6.4144512611941013E-2</c:v>
                </c:pt>
                <c:pt idx="2">
                  <c:v>1.4425791597613161E-2</c:v>
                </c:pt>
                <c:pt idx="3">
                  <c:v>2.8601296834051379E-3</c:v>
                </c:pt>
                <c:pt idx="4">
                  <c:v>3.1528774528437808E-3</c:v>
                </c:pt>
                <c:pt idx="5">
                  <c:v>5.164478066833198E-3</c:v>
                </c:pt>
                <c:pt idx="6">
                  <c:v>3.9594416881091159E-3</c:v>
                </c:pt>
                <c:pt idx="7">
                  <c:v>3.3986130681645187E-3</c:v>
                </c:pt>
                <c:pt idx="8">
                  <c:v>1.4131148782095022E-2</c:v>
                </c:pt>
                <c:pt idx="9">
                  <c:v>2.9869660306966923E-3</c:v>
                </c:pt>
                <c:pt idx="10">
                  <c:v>1.3040012187644006E-2</c:v>
                </c:pt>
                <c:pt idx="11">
                  <c:v>8.1562495281830086E-3</c:v>
                </c:pt>
                <c:pt idx="12">
                  <c:v>6.3002971483927476E-3</c:v>
                </c:pt>
                <c:pt idx="13">
                  <c:v>5.2582912124241928E-3</c:v>
                </c:pt>
                <c:pt idx="14">
                  <c:v>1.8854755530425329E-2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32-4CDC-9EE6-3FAE0ED3F925}"/>
            </c:ext>
          </c:extLst>
        </c:ser>
        <c:ser>
          <c:idx val="5"/>
          <c:order val="5"/>
          <c:tx>
            <c:strRef>
              <c:f>'Results Biogas - MEA (GF)'!$S$80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MEA (GF)'!$S$81:$S$95</c:f>
              <c:numCache>
                <c:formatCode>0%</c:formatCode>
                <c:ptCount val="15"/>
                <c:pt idx="0">
                  <c:v>0.12101536938674556</c:v>
                </c:pt>
                <c:pt idx="1">
                  <c:v>5.4141948702436979E-2</c:v>
                </c:pt>
                <c:pt idx="2">
                  <c:v>0.21724752765266972</c:v>
                </c:pt>
                <c:pt idx="3">
                  <c:v>0.26066704676776642</c:v>
                </c:pt>
                <c:pt idx="4">
                  <c:v>0.12347547016693321</c:v>
                </c:pt>
                <c:pt idx="5">
                  <c:v>4.3917084487169578E-2</c:v>
                </c:pt>
                <c:pt idx="6">
                  <c:v>7.1934303191999893E-2</c:v>
                </c:pt>
                <c:pt idx="7">
                  <c:v>4.1773059202395726E-2</c:v>
                </c:pt>
                <c:pt idx="8">
                  <c:v>0.22858698053649271</c:v>
                </c:pt>
                <c:pt idx="9">
                  <c:v>7.8180519794788836E-2</c:v>
                </c:pt>
                <c:pt idx="10">
                  <c:v>0.25348531124266516</c:v>
                </c:pt>
                <c:pt idx="11">
                  <c:v>0.13208297475241951</c:v>
                </c:pt>
                <c:pt idx="12">
                  <c:v>0.13913476957096285</c:v>
                </c:pt>
                <c:pt idx="13">
                  <c:v>0.15671064489463768</c:v>
                </c:pt>
                <c:pt idx="14">
                  <c:v>7.3566894976931793E-2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432-4CDC-9EE6-3FAE0ED3F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2589263"/>
        <c:axId val="1862564271"/>
      </c:barChart>
      <c:catAx>
        <c:axId val="1422589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64271"/>
        <c:crosses val="autoZero"/>
        <c:auto val="1"/>
        <c:lblAlgn val="ctr"/>
        <c:lblOffset val="100"/>
        <c:noMultiLvlLbl val="0"/>
      </c:catAx>
      <c:valAx>
        <c:axId val="186256427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22589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Biogas - MEA (GF)'!$N$102</c:f>
              <c:strCache>
                <c:ptCount val="1"/>
                <c:pt idx="0">
                  <c:v>Biostimulant delivery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(GF)'!$L$103:$L$106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MEA (GF)'!$N$103:$N$106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5F-4E45-89CD-E9B7CB474AD1}"/>
            </c:ext>
          </c:extLst>
        </c:ser>
        <c:ser>
          <c:idx val="1"/>
          <c:order val="1"/>
          <c:tx>
            <c:strRef>
              <c:f>'Results Biogas - MEA (GF)'!$O$102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(GF)'!$L$103:$L$106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MEA (GF)'!$O$103:$O$106</c:f>
              <c:numCache>
                <c:formatCode>0%</c:formatCode>
                <c:ptCount val="4"/>
                <c:pt idx="0">
                  <c:v>0.96342122928333296</c:v>
                </c:pt>
                <c:pt idx="1">
                  <c:v>0.92203872338950155</c:v>
                </c:pt>
                <c:pt idx="2">
                  <c:v>0.94873973372278342</c:v>
                </c:pt>
                <c:pt idx="3">
                  <c:v>0.951192253411974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5F-4E45-89CD-E9B7CB474AD1}"/>
            </c:ext>
          </c:extLst>
        </c:ser>
        <c:ser>
          <c:idx val="2"/>
          <c:order val="2"/>
          <c:tx>
            <c:strRef>
              <c:f>'Results Biogas - MEA (GF)'!$P$102</c:f>
              <c:strCache>
                <c:ptCount val="1"/>
                <c:pt idx="0">
                  <c:v>Final tank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(GF)'!$L$103:$L$106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MEA (GF)'!$P$103:$P$106</c:f>
              <c:numCache>
                <c:formatCode>0%</c:formatCode>
                <c:ptCount val="4"/>
                <c:pt idx="0">
                  <c:v>9.4775584344132758E-8</c:v>
                </c:pt>
                <c:pt idx="1">
                  <c:v>2.7886049195194685E-7</c:v>
                </c:pt>
                <c:pt idx="2">
                  <c:v>6.7119796087253643E-11</c:v>
                </c:pt>
                <c:pt idx="3">
                  <c:v>3.5078273496324939E-4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5F-4E45-89CD-E9B7CB474AD1}"/>
            </c:ext>
          </c:extLst>
        </c:ser>
        <c:ser>
          <c:idx val="3"/>
          <c:order val="3"/>
          <c:tx>
            <c:strRef>
              <c:f>'Results Biogas - MEA (GF)'!$Q$102</c:f>
              <c:strCache>
                <c:ptCount val="1"/>
                <c:pt idx="0">
                  <c:v>Transport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(GF)'!$L$103:$L$106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MEA (GF)'!$Q$103:$Q$106</c:f>
              <c:numCache>
                <c:formatCode>0%</c:formatCode>
                <c:ptCount val="4"/>
                <c:pt idx="0">
                  <c:v>3.657867594108264E-2</c:v>
                </c:pt>
                <c:pt idx="1">
                  <c:v>7.796099775000663E-2</c:v>
                </c:pt>
                <c:pt idx="2">
                  <c:v>5.1260266210096661E-2</c:v>
                </c:pt>
                <c:pt idx="3">
                  <c:v>4.8456963853062827E-2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5F-4E45-89CD-E9B7CB474AD1}"/>
            </c:ext>
          </c:extLst>
        </c:ser>
        <c:ser>
          <c:idx val="4"/>
          <c:order val="4"/>
          <c:tx>
            <c:strRef>
              <c:f>'Results Biogas - MEA (GF)'!$R$102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(GF)'!$L$103:$L$106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MEA (GF)'!$R$103:$R$106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775F-4E45-89CD-E9B7CB474AD1}"/>
            </c:ext>
          </c:extLst>
        </c:ser>
        <c:ser>
          <c:idx val="5"/>
          <c:order val="5"/>
          <c:tx>
            <c:strRef>
              <c:f>'Results Biogas - MEA (GF)'!$S$102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(GF)'!$L$103:$L$106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MEA (GF)'!$S$103:$S$106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5-775F-4E45-89CD-E9B7CB474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Biogas - MEA (GF)'!$N$110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MEA (GF)'!$N$111:$N$114</c:f>
              <c:numCache>
                <c:formatCode>0%</c:formatCode>
                <c:ptCount val="4"/>
                <c:pt idx="0">
                  <c:v>0.75991381510974609</c:v>
                </c:pt>
                <c:pt idx="1">
                  <c:v>0.85977429236221925</c:v>
                </c:pt>
                <c:pt idx="2">
                  <c:v>0.84797924095303012</c:v>
                </c:pt>
                <c:pt idx="3">
                  <c:v>0.8917673327224086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A3-411C-9A46-5153847A4F85}"/>
            </c:ext>
          </c:extLst>
        </c:ser>
        <c:ser>
          <c:idx val="1"/>
          <c:order val="1"/>
          <c:tx>
            <c:strRef>
              <c:f>'Results Biogas - MEA (GF)'!$O$110</c:f>
              <c:strCache>
                <c:ptCount val="1"/>
                <c:pt idx="0">
                  <c:v>Phosphate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MEA (GF)'!$O$111:$O$114</c:f>
              <c:numCache>
                <c:formatCode>0%</c:formatCode>
                <c:ptCount val="4"/>
                <c:pt idx="0">
                  <c:v>0.2330137415886197</c:v>
                </c:pt>
                <c:pt idx="1">
                  <c:v>0.13880405096063159</c:v>
                </c:pt>
                <c:pt idx="2">
                  <c:v>0.12604222916923022</c:v>
                </c:pt>
                <c:pt idx="3">
                  <c:v>8.4026336023353632E-2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A3-411C-9A46-5153847A4F85}"/>
            </c:ext>
          </c:extLst>
        </c:ser>
        <c:ser>
          <c:idx val="2"/>
          <c:order val="2"/>
          <c:tx>
            <c:strRef>
              <c:f>'Results Biogas - MEA (GF)'!$P$110</c:f>
              <c:strCache>
                <c:ptCount val="1"/>
                <c:pt idx="0">
                  <c:v>Enzyme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MEA (GF)'!$P$111:$P$114</c:f>
              <c:numCache>
                <c:formatCode>0%</c:formatCode>
                <c:ptCount val="4"/>
                <c:pt idx="0">
                  <c:v>4.8624241368725368E-4</c:v>
                </c:pt>
                <c:pt idx="1">
                  <c:v>1.8279717515549775E-5</c:v>
                </c:pt>
                <c:pt idx="2">
                  <c:v>5.5302212091299123E-3</c:v>
                </c:pt>
                <c:pt idx="3">
                  <c:v>3.7059321983183057E-3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A3-411C-9A46-5153847A4F85}"/>
            </c:ext>
          </c:extLst>
        </c:ser>
        <c:ser>
          <c:idx val="3"/>
          <c:order val="3"/>
          <c:tx>
            <c:strRef>
              <c:f>'Results Biogas - MEA (GF)'!$Q$110</c:f>
              <c:strCache>
                <c:ptCount val="1"/>
                <c:pt idx="0">
                  <c:v>Reactor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MEA (GF)'!$Q$111:$Q$114</c:f>
              <c:numCache>
                <c:formatCode>0%</c:formatCode>
                <c:ptCount val="4"/>
                <c:pt idx="0">
                  <c:v>1.6395491922063688E-8</c:v>
                </c:pt>
                <c:pt idx="1">
                  <c:v>5.0432038666394565E-8</c:v>
                </c:pt>
                <c:pt idx="2">
                  <c:v>1.1820842629503129E-11</c:v>
                </c:pt>
                <c:pt idx="3">
                  <c:v>6.154904284195133E-5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A3-411C-9A46-5153847A4F85}"/>
            </c:ext>
          </c:extLst>
        </c:ser>
        <c:ser>
          <c:idx val="4"/>
          <c:order val="4"/>
          <c:tx>
            <c:strRef>
              <c:f>'Results Biogas - MEA (GF)'!$R$110</c:f>
              <c:strCache>
                <c:ptCount val="1"/>
                <c:pt idx="0">
                  <c:v>Steam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MEA (GF)'!$R$111:$R$114</c:f>
              <c:numCache>
                <c:formatCode>0%</c:formatCode>
                <c:ptCount val="4"/>
                <c:pt idx="0">
                  <c:v>2.5867742133179245E-3</c:v>
                </c:pt>
                <c:pt idx="1">
                  <c:v>2.4992239302766534E-4</c:v>
                </c:pt>
                <c:pt idx="2">
                  <c:v>1.7405651480644251E-2</c:v>
                </c:pt>
                <c:pt idx="3">
                  <c:v>1.6877756124621616E-2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A3-411C-9A46-5153847A4F85}"/>
            </c:ext>
          </c:extLst>
        </c:ser>
        <c:ser>
          <c:idx val="5"/>
          <c:order val="5"/>
          <c:tx>
            <c:strRef>
              <c:f>'Results Biogas - MEA (GF)'!$S$110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MEA (GF)'!$S$111:$S$114</c:f>
              <c:numCache>
                <c:formatCode>0%</c:formatCode>
                <c:ptCount val="4"/>
                <c:pt idx="0">
                  <c:v>3.9994102791369082E-3</c:v>
                </c:pt>
                <c:pt idx="1">
                  <c:v>1.1534041345672187E-3</c:v>
                </c:pt>
                <c:pt idx="2">
                  <c:v>3.0426571761449079E-3</c:v>
                </c:pt>
                <c:pt idx="3">
                  <c:v>3.5610938884559746E-3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A3-411C-9A46-5153847A4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-0.1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Biogas - MEA (GF)'!$J$118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(GF)'!$H$119:$H$122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MEA (GF)'!$J$119:$J$122</c:f>
              <c:numCache>
                <c:formatCode>0%</c:formatCode>
                <c:ptCount val="4"/>
                <c:pt idx="0">
                  <c:v>0.98695653998190203</c:v>
                </c:pt>
                <c:pt idx="1">
                  <c:v>0.99667513207099623</c:v>
                </c:pt>
                <c:pt idx="2">
                  <c:v>0.99110706422551731</c:v>
                </c:pt>
                <c:pt idx="3">
                  <c:v>0.99010287131276509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B2-44E9-8D5C-11BD9309350B}"/>
            </c:ext>
          </c:extLst>
        </c:ser>
        <c:ser>
          <c:idx val="1"/>
          <c:order val="1"/>
          <c:tx>
            <c:strRef>
              <c:f>'Results Biogas - MEA (GF)'!$K$118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(GF)'!$H$119:$H$122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MEA (GF)'!$K$119:$K$122</c:f>
              <c:numCache>
                <c:formatCode>0%</c:formatCode>
                <c:ptCount val="4"/>
                <c:pt idx="0">
                  <c:v>1.3043460018098045E-2</c:v>
                </c:pt>
                <c:pt idx="1">
                  <c:v>3.3248679290037923E-3</c:v>
                </c:pt>
                <c:pt idx="2">
                  <c:v>8.8929357744827811E-3</c:v>
                </c:pt>
                <c:pt idx="3">
                  <c:v>9.8971286872349441E-3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B2-44E9-8D5C-11BD93093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Biogas - MEA (GF)'!$K$126</c:f>
              <c:strCache>
                <c:ptCount val="1"/>
                <c:pt idx="0">
                  <c:v>Biomass cultivation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(GF)'!$I$127:$I$130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MEA (GF)'!$K$127:$K$130</c:f>
              <c:numCache>
                <c:formatCode>0%</c:formatCode>
                <c:ptCount val="4"/>
                <c:pt idx="0">
                  <c:v>0.94125378338889343</c:v>
                </c:pt>
                <c:pt idx="1">
                  <c:v>0.9843442434719204</c:v>
                </c:pt>
                <c:pt idx="2">
                  <c:v>0.95854622368319031</c:v>
                </c:pt>
                <c:pt idx="3">
                  <c:v>0.95353799913547865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60-49A6-846D-4EC5FD790C71}"/>
            </c:ext>
          </c:extLst>
        </c:ser>
        <c:ser>
          <c:idx val="1"/>
          <c:order val="1"/>
          <c:tx>
            <c:strRef>
              <c:f>'Results Biogas - MEA (GF)'!$L$126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(GF)'!$I$127:$I$130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MEA (GF)'!$L$127:$L$130</c:f>
              <c:numCache>
                <c:formatCode>0%</c:formatCode>
                <c:ptCount val="4"/>
                <c:pt idx="0">
                  <c:v>5.8746216611106537E-2</c:v>
                </c:pt>
                <c:pt idx="1">
                  <c:v>1.5655756528079545E-2</c:v>
                </c:pt>
                <c:pt idx="2">
                  <c:v>4.1453776316809687E-2</c:v>
                </c:pt>
                <c:pt idx="3">
                  <c:v>4.6462000864521416E-2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60-49A6-846D-4EC5FD790C71}"/>
            </c:ext>
          </c:extLst>
        </c:ser>
        <c:ser>
          <c:idx val="2"/>
          <c:order val="2"/>
          <c:tx>
            <c:strRef>
              <c:f>'Results Biogas - MEA (GF)'!$M$126</c:f>
              <c:strCache>
                <c:ptCount val="1"/>
                <c:pt idx="0">
                  <c:v>Irrigation water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(GF)'!$I$127:$I$130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MEA (GF)'!$M$127:$M$130</c:f>
              <c:numCache>
                <c:formatCode>0%</c:formatCode>
                <c:ptCount val="4"/>
                <c:pt idx="0">
                  <c:v>-5.840373791039067E-2</c:v>
                </c:pt>
                <c:pt idx="1">
                  <c:v>-5.9221075304314568E-3</c:v>
                </c:pt>
                <c:pt idx="2">
                  <c:v>-2.1396756371140989E-2</c:v>
                </c:pt>
                <c:pt idx="3">
                  <c:v>-1.54536920550668E-2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60-49A6-846D-4EC5FD790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-0.1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SimaPro (GF)'!$N$23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SimaPro (GF)'!$N$24:$N$38</c:f>
              <c:numCache>
                <c:formatCode>0%</c:formatCode>
                <c:ptCount val="15"/>
                <c:pt idx="0">
                  <c:v>0.82417722006293914</c:v>
                </c:pt>
                <c:pt idx="1">
                  <c:v>0.55176300958297364</c:v>
                </c:pt>
                <c:pt idx="2">
                  <c:v>0.76473301507856895</c:v>
                </c:pt>
                <c:pt idx="3">
                  <c:v>0.95259273894342023</c:v>
                </c:pt>
                <c:pt idx="4">
                  <c:v>0.90794978872728205</c:v>
                </c:pt>
                <c:pt idx="5">
                  <c:v>0.88102182374297666</c:v>
                </c:pt>
                <c:pt idx="6">
                  <c:v>0.84721614954001134</c:v>
                </c:pt>
                <c:pt idx="7">
                  <c:v>0.90938699692860914</c:v>
                </c:pt>
                <c:pt idx="8">
                  <c:v>0.76261519960258206</c:v>
                </c:pt>
                <c:pt idx="9">
                  <c:v>0.56047715182714841</c:v>
                </c:pt>
                <c:pt idx="10">
                  <c:v>0.73382927278896837</c:v>
                </c:pt>
                <c:pt idx="11">
                  <c:v>0.39928727834580802</c:v>
                </c:pt>
                <c:pt idx="12">
                  <c:v>0.84550206664008998</c:v>
                </c:pt>
                <c:pt idx="13">
                  <c:v>0.88322228406545811</c:v>
                </c:pt>
                <c:pt idx="14">
                  <c:v>0.69023587249799956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B0-4262-AF01-ADC7C38028AA}"/>
            </c:ext>
          </c:extLst>
        </c:ser>
        <c:ser>
          <c:idx val="1"/>
          <c:order val="1"/>
          <c:tx>
            <c:strRef>
              <c:f>'Results SimaPro (GF)'!$O$23</c:f>
              <c:strCache>
                <c:ptCount val="1"/>
                <c:pt idx="0">
                  <c:v>Phosphate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SimaPro (GF)'!$O$24:$O$38</c:f>
              <c:numCache>
                <c:formatCode>0%</c:formatCode>
                <c:ptCount val="15"/>
                <c:pt idx="0">
                  <c:v>0.17071849350184279</c:v>
                </c:pt>
                <c:pt idx="1">
                  <c:v>0.44705092533351914</c:v>
                </c:pt>
                <c:pt idx="2">
                  <c:v>0.22491782812397892</c:v>
                </c:pt>
                <c:pt idx="3">
                  <c:v>3.9162724365770583E-2</c:v>
                </c:pt>
                <c:pt idx="4">
                  <c:v>8.7636381814611461E-2</c:v>
                </c:pt>
                <c:pt idx="5">
                  <c:v>9.2482335753059405E-2</c:v>
                </c:pt>
                <c:pt idx="6">
                  <c:v>0.14951732158257455</c:v>
                </c:pt>
                <c:pt idx="7">
                  <c:v>8.9124626074084182E-2</c:v>
                </c:pt>
                <c:pt idx="8">
                  <c:v>0.22459511346102223</c:v>
                </c:pt>
                <c:pt idx="9">
                  <c:v>0.43792805484840502</c:v>
                </c:pt>
                <c:pt idx="10">
                  <c:v>0.25292854613002713</c:v>
                </c:pt>
                <c:pt idx="11">
                  <c:v>0.51822081209448556</c:v>
                </c:pt>
                <c:pt idx="12">
                  <c:v>0.12689779785207911</c:v>
                </c:pt>
                <c:pt idx="13">
                  <c:v>8.9070006559704457E-2</c:v>
                </c:pt>
                <c:pt idx="14">
                  <c:v>0.30738781385159802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B0-4262-AF01-ADC7C38028AA}"/>
            </c:ext>
          </c:extLst>
        </c:ser>
        <c:ser>
          <c:idx val="2"/>
          <c:order val="2"/>
          <c:tx>
            <c:strRef>
              <c:f>'Results SimaPro (GF)'!$P$23</c:f>
              <c:strCache>
                <c:ptCount val="1"/>
                <c:pt idx="0">
                  <c:v>Enzyme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SimaPro (GF)'!$P$24:$P$38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5.8309411671778868E-4</c:v>
                </c:pt>
                <c:pt idx="3">
                  <c:v>0</c:v>
                </c:pt>
                <c:pt idx="4">
                  <c:v>0</c:v>
                </c:pt>
                <c:pt idx="5">
                  <c:v>7.4256661360750662E-3</c:v>
                </c:pt>
                <c:pt idx="6">
                  <c:v>5.8086885932817349E-11</c:v>
                </c:pt>
                <c:pt idx="7">
                  <c:v>4.2778140535808643E-10</c:v>
                </c:pt>
                <c:pt idx="8">
                  <c:v>4.9481656913410446E-4</c:v>
                </c:pt>
                <c:pt idx="9">
                  <c:v>0</c:v>
                </c:pt>
                <c:pt idx="10">
                  <c:v>1.4908348479240872E-3</c:v>
                </c:pt>
                <c:pt idx="11">
                  <c:v>8.0939757393893405E-2</c:v>
                </c:pt>
                <c:pt idx="12">
                  <c:v>5.5677600773166424E-3</c:v>
                </c:pt>
                <c:pt idx="13">
                  <c:v>3.9676512376169339E-3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B0-4262-AF01-ADC7C38028AA}"/>
            </c:ext>
          </c:extLst>
        </c:ser>
        <c:ser>
          <c:idx val="3"/>
          <c:order val="3"/>
          <c:tx>
            <c:strRef>
              <c:f>'Results SimaPro (GF)'!$Q$23</c:f>
              <c:strCache>
                <c:ptCount val="1"/>
                <c:pt idx="0">
                  <c:v>Reactor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SimaPro (GF)'!$Q$24:$Q$38</c:f>
              <c:numCache>
                <c:formatCode>0%</c:formatCode>
                <c:ptCount val="15"/>
                <c:pt idx="0">
                  <c:v>2.8431659717000202E-9</c:v>
                </c:pt>
                <c:pt idx="1">
                  <c:v>3.5681154176597605E-8</c:v>
                </c:pt>
                <c:pt idx="2">
                  <c:v>1.2699492540502493E-8</c:v>
                </c:pt>
                <c:pt idx="3">
                  <c:v>2.9734769893651373E-7</c:v>
                </c:pt>
                <c:pt idx="4">
                  <c:v>1.9471631960389634E-13</c:v>
                </c:pt>
                <c:pt idx="5">
                  <c:v>6.2090780067560585E-7</c:v>
                </c:pt>
                <c:pt idx="6">
                  <c:v>4.7306229926911692E-6</c:v>
                </c:pt>
                <c:pt idx="7">
                  <c:v>1.8562358619267855E-9</c:v>
                </c:pt>
                <c:pt idx="8">
                  <c:v>3.6260175431037122E-8</c:v>
                </c:pt>
                <c:pt idx="9">
                  <c:v>0</c:v>
                </c:pt>
                <c:pt idx="10">
                  <c:v>3.8982331707150535E-7</c:v>
                </c:pt>
                <c:pt idx="11">
                  <c:v>0</c:v>
                </c:pt>
                <c:pt idx="12">
                  <c:v>1.1901081924920902E-11</c:v>
                </c:pt>
                <c:pt idx="13">
                  <c:v>6.2207522644579981E-5</c:v>
                </c:pt>
                <c:pt idx="14">
                  <c:v>1.2732500972441653E-3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B0-4262-AF01-ADC7C38028AA}"/>
            </c:ext>
          </c:extLst>
        </c:ser>
        <c:ser>
          <c:idx val="4"/>
          <c:order val="4"/>
          <c:tx>
            <c:strRef>
              <c:f>'Results SimaPro (GF)'!$R$23</c:f>
              <c:strCache>
                <c:ptCount val="1"/>
                <c:pt idx="0">
                  <c:v>Steam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SimaPro (GF)'!$R$24:$R$38</c:f>
              <c:numCache>
                <c:formatCode>0%</c:formatCode>
                <c:ptCount val="15"/>
                <c:pt idx="0">
                  <c:v>2.6612655376937851E-5</c:v>
                </c:pt>
                <c:pt idx="1">
                  <c:v>6.3127582646219039E-5</c:v>
                </c:pt>
                <c:pt idx="2">
                  <c:v>3.1171125321069063E-3</c:v>
                </c:pt>
                <c:pt idx="3">
                  <c:v>1.026697112956217E-4</c:v>
                </c:pt>
                <c:pt idx="4">
                  <c:v>4.2398481896255501E-5</c:v>
                </c:pt>
                <c:pt idx="5">
                  <c:v>1.7381208249049887E-2</c:v>
                </c:pt>
                <c:pt idx="6">
                  <c:v>2.0198792889687313E-5</c:v>
                </c:pt>
                <c:pt idx="7">
                  <c:v>4.803544607771262E-5</c:v>
                </c:pt>
                <c:pt idx="8">
                  <c:v>5.433597367819413E-3</c:v>
                </c:pt>
                <c:pt idx="9">
                  <c:v>6.6768954479935026E-5</c:v>
                </c:pt>
                <c:pt idx="10">
                  <c:v>4.6634292089225635E-3</c:v>
                </c:pt>
                <c:pt idx="11">
                  <c:v>1.2415267117758172E-5</c:v>
                </c:pt>
                <c:pt idx="12">
                  <c:v>1.7523800182464241E-2</c:v>
                </c:pt>
                <c:pt idx="13">
                  <c:v>1.8069624499261576E-2</c:v>
                </c:pt>
                <c:pt idx="14">
                  <c:v>2.2959760366843973E-5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B0-4262-AF01-ADC7C38028AA}"/>
            </c:ext>
          </c:extLst>
        </c:ser>
        <c:ser>
          <c:idx val="5"/>
          <c:order val="5"/>
          <c:tx>
            <c:strRef>
              <c:f>'Results SimaPro (GF)'!$S$23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SimaPro (GF)'!$S$24:$S$38</c:f>
              <c:numCache>
                <c:formatCode>0%</c:formatCode>
                <c:ptCount val="15"/>
                <c:pt idx="0">
                  <c:v>5.0776709366751388E-3</c:v>
                </c:pt>
                <c:pt idx="1">
                  <c:v>1.1229018197069732E-3</c:v>
                </c:pt>
                <c:pt idx="2">
                  <c:v>6.6489374491349364E-3</c:v>
                </c:pt>
                <c:pt idx="3">
                  <c:v>8.1415696318146956E-3</c:v>
                </c:pt>
                <c:pt idx="4">
                  <c:v>4.3714309760155712E-3</c:v>
                </c:pt>
                <c:pt idx="5">
                  <c:v>1.6883452110382556E-3</c:v>
                </c:pt>
                <c:pt idx="6">
                  <c:v>3.2415994034448795E-3</c:v>
                </c:pt>
                <c:pt idx="7">
                  <c:v>1.4403392672117294E-3</c:v>
                </c:pt>
                <c:pt idx="8">
                  <c:v>6.8612367392667751E-3</c:v>
                </c:pt>
                <c:pt idx="9">
                  <c:v>1.5280243699664923E-3</c:v>
                </c:pt>
                <c:pt idx="10">
                  <c:v>7.087527200840822E-3</c:v>
                </c:pt>
                <c:pt idx="11">
                  <c:v>1.5397368986953613E-3</c:v>
                </c:pt>
                <c:pt idx="12">
                  <c:v>4.5085752361490559E-3</c:v>
                </c:pt>
                <c:pt idx="13">
                  <c:v>5.6082261153143614E-3</c:v>
                </c:pt>
                <c:pt idx="14">
                  <c:v>1.0801037927913031E-3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B0-4262-AF01-ADC7C3802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2589263"/>
        <c:axId val="1862564271"/>
      </c:barChart>
      <c:catAx>
        <c:axId val="1422589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64271"/>
        <c:crosses val="autoZero"/>
        <c:auto val="1"/>
        <c:lblAlgn val="ctr"/>
        <c:lblOffset val="100"/>
        <c:noMultiLvlLbl val="0"/>
      </c:catAx>
      <c:valAx>
        <c:axId val="186256427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22589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Biogas - MEA (GF)'!$N$134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MEA (GF)'!$N$135:$N$138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EC-436C-A775-4DAAB832675B}"/>
            </c:ext>
          </c:extLst>
        </c:ser>
        <c:ser>
          <c:idx val="1"/>
          <c:order val="1"/>
          <c:tx>
            <c:strRef>
              <c:f>'Results Biogas - MEA (GF)'!$O$134</c:f>
              <c:strCache>
                <c:ptCount val="1"/>
                <c:pt idx="0">
                  <c:v>Pig manure (transport)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MEA (GF)'!$O$135:$O$138</c:f>
              <c:numCache>
                <c:formatCode>0%</c:formatCode>
                <c:ptCount val="4"/>
                <c:pt idx="0">
                  <c:v>0.42244835757843535</c:v>
                </c:pt>
                <c:pt idx="1">
                  <c:v>0.82801514475260118</c:v>
                </c:pt>
                <c:pt idx="2">
                  <c:v>0.54692231745208286</c:v>
                </c:pt>
                <c:pt idx="3">
                  <c:v>0.49646029909362099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EC-436C-A775-4DAAB832675B}"/>
            </c:ext>
          </c:extLst>
        </c:ser>
        <c:ser>
          <c:idx val="2"/>
          <c:order val="2"/>
          <c:tx>
            <c:strRef>
              <c:f>'Results Biogas - MEA (GF)'!$P$134</c:f>
              <c:strCache>
                <c:ptCount val="1"/>
                <c:pt idx="0">
                  <c:v>CO2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MEA (GF)'!$P$135:$P$138</c:f>
              <c:numCache>
                <c:formatCode>0%</c:formatCode>
                <c:ptCount val="4"/>
                <c:pt idx="0">
                  <c:v>0.27785193988380308</c:v>
                </c:pt>
                <c:pt idx="1">
                  <c:v>9.023777561380518E-2</c:v>
                </c:pt>
                <c:pt idx="2">
                  <c:v>0.25733801526358119</c:v>
                </c:pt>
                <c:pt idx="3">
                  <c:v>0.29193264066420671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EC-436C-A775-4DAAB832675B}"/>
            </c:ext>
          </c:extLst>
        </c:ser>
        <c:ser>
          <c:idx val="3"/>
          <c:order val="3"/>
          <c:tx>
            <c:strRef>
              <c:f>'Results Biogas - MEA (GF)'!$Q$134</c:f>
              <c:strCache>
                <c:ptCount val="1"/>
                <c:pt idx="0">
                  <c:v>Water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MEA (GF)'!$Q$135:$Q$138</c:f>
              <c:numCache>
                <c:formatCode>0%</c:formatCode>
                <c:ptCount val="4"/>
                <c:pt idx="0">
                  <c:v>8.1352023759176093E-2</c:v>
                </c:pt>
                <c:pt idx="1">
                  <c:v>2.6830677226143112E-2</c:v>
                </c:pt>
                <c:pt idx="2">
                  <c:v>5.0304600564980359E-2</c:v>
                </c:pt>
                <c:pt idx="3">
                  <c:v>4.9564179863368252E-2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EC-436C-A775-4DAAB832675B}"/>
            </c:ext>
          </c:extLst>
        </c:ser>
        <c:ser>
          <c:idx val="4"/>
          <c:order val="4"/>
          <c:tx>
            <c:strRef>
              <c:f>'Results Biogas - MEA (GF)'!$R$134</c:f>
              <c:strCache>
                <c:ptCount val="1"/>
                <c:pt idx="0">
                  <c:v>Thin-layer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MEA (GF)'!$R$135:$R$138</c:f>
              <c:numCache>
                <c:formatCode>0%</c:formatCode>
                <c:ptCount val="4"/>
                <c:pt idx="0">
                  <c:v>1.7542947735010528E-2</c:v>
                </c:pt>
                <c:pt idx="1">
                  <c:v>3.7468420570819466E-3</c:v>
                </c:pt>
                <c:pt idx="2">
                  <c:v>6.3002971483927476E-3</c:v>
                </c:pt>
                <c:pt idx="3">
                  <c:v>5.2795287008850379E-3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EC-436C-A775-4DAAB832675B}"/>
            </c:ext>
          </c:extLst>
        </c:ser>
        <c:ser>
          <c:idx val="5"/>
          <c:order val="5"/>
          <c:tx>
            <c:strRef>
              <c:f>'Results Biogas - MEA (GF)'!$S$134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MEA (GF)'!$S$135:$S$138</c:f>
              <c:numCache>
                <c:formatCode>0%</c:formatCode>
                <c:ptCount val="4"/>
                <c:pt idx="0">
                  <c:v>0.20080473104357505</c:v>
                </c:pt>
                <c:pt idx="1">
                  <c:v>5.1169560350368556E-2</c:v>
                </c:pt>
                <c:pt idx="2">
                  <c:v>0.13913476957096285</c:v>
                </c:pt>
                <c:pt idx="3">
                  <c:v>0.15676335167791883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EC-436C-A775-4DAAB8326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Biogas - MEA (GF)'!$AF$4</c:f>
              <c:strCache>
                <c:ptCount val="1"/>
                <c:pt idx="0">
                  <c:v>Biostimulant delivery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Biogas - MEA (GF)'!$AF$7,'Results Biogas - MEA (GF)'!$AF$10,'Results Biogas - MEA (GF)'!$AF$13,'Results Biogas - MEA (GF)'!$AF$16)</c:f>
              <c:numCache>
                <c:formatCode>0.00%</c:formatCode>
                <c:ptCount val="4"/>
                <c:pt idx="0">
                  <c:v>5.1665836657851509E-2</c:v>
                </c:pt>
                <c:pt idx="1">
                  <c:v>3.6633639679787784E-2</c:v>
                </c:pt>
                <c:pt idx="2">
                  <c:v>7.8563072046858529E-2</c:v>
                </c:pt>
                <c:pt idx="3">
                  <c:v>4.8846331473276203E-2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2-4ABB-A41C-D50DFDEDAC4B}"/>
            </c:ext>
          </c:extLst>
        </c:ser>
        <c:ser>
          <c:idx val="1"/>
          <c:order val="1"/>
          <c:tx>
            <c:strRef>
              <c:f>'Results Biogas - MEA (GF)'!$AG$4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Biogas - MEA (GF)'!$AG$7,'Results Biogas - MEA (GF)'!$AG$10,'Results Biogas - MEA (GF)'!$AG$13,'Results Biogas - MEA (GF)'!$AG$16)</c:f>
              <c:numCache>
                <c:formatCode>0.00%</c:formatCode>
                <c:ptCount val="4"/>
                <c:pt idx="0">
                  <c:v>0.14416647934144636</c:v>
                </c:pt>
                <c:pt idx="1">
                  <c:v>0.23129095410088932</c:v>
                </c:pt>
                <c:pt idx="2">
                  <c:v>0.12920914526581215</c:v>
                </c:pt>
                <c:pt idx="3">
                  <c:v>0.10294589853551331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E2-4ABB-A41C-D50DFDEDAC4B}"/>
            </c:ext>
          </c:extLst>
        </c:ser>
        <c:ser>
          <c:idx val="2"/>
          <c:order val="2"/>
          <c:tx>
            <c:strRef>
              <c:f>'Results Biogas - MEA (GF)'!$AH$4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Biogas - MEA (GF)'!$AH$7,'Results Biogas - MEA (GF)'!$AH$10,'Results Biogas - MEA (GF)'!$AH$13,'Results Biogas - MEA (GF)'!$AH$16)</c:f>
              <c:numCache>
                <c:formatCode>0.00%</c:formatCode>
                <c:ptCount val="4"/>
                <c:pt idx="0">
                  <c:v>7.151411565732845E-3</c:v>
                </c:pt>
                <c:pt idx="1">
                  <c:v>9.5487962912547027E-3</c:v>
                </c:pt>
                <c:pt idx="2">
                  <c:v>2.6340527471228814E-3</c:v>
                </c:pt>
                <c:pt idx="3">
                  <c:v>8.3948214531156078E-3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E2-4ABB-A41C-D50DFDEDAC4B}"/>
            </c:ext>
          </c:extLst>
        </c:ser>
        <c:ser>
          <c:idx val="3"/>
          <c:order val="3"/>
          <c:tx>
            <c:strRef>
              <c:f>'Results Biogas - MEA (GF)'!$AI$4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Biogas - MEA (GF)'!$AI$7,'Results Biogas - MEA (GF)'!$AI$10,'Results Biogas - MEA (GF)'!$AI$13,'Results Biogas - MEA (GF)'!$AI$16)</c:f>
              <c:numCache>
                <c:formatCode>0.00%</c:formatCode>
                <c:ptCount val="4"/>
                <c:pt idx="0">
                  <c:v>1.6335293570019439E-2</c:v>
                </c:pt>
                <c:pt idx="1">
                  <c:v>2.6279838245282046E-4</c:v>
                </c:pt>
                <c:pt idx="2">
                  <c:v>7.7314144859296861E-3</c:v>
                </c:pt>
                <c:pt idx="3">
                  <c:v>2.6449928297231803E-2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E2-4ABB-A41C-D50DFDEDAC4B}"/>
            </c:ext>
          </c:extLst>
        </c:ser>
        <c:ser>
          <c:idx val="4"/>
          <c:order val="4"/>
          <c:tx>
            <c:strRef>
              <c:f>'Results Biogas - MEA (GF)'!$AJ$4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Biogas - MEA (GF)'!$AJ$7,'Results Biogas - MEA (GF)'!$AJ$10,'Results Biogas - MEA (GF)'!$AJ$13,'Results Biogas - MEA (GF)'!$AJ$16)</c:f>
              <c:numCache>
                <c:formatCode>0.00%</c:formatCode>
                <c:ptCount val="4"/>
                <c:pt idx="0">
                  <c:v>0.7806809788649498</c:v>
                </c:pt>
                <c:pt idx="1">
                  <c:v>0.72226381154561536</c:v>
                </c:pt>
                <c:pt idx="2">
                  <c:v>0.78186231545427676</c:v>
                </c:pt>
                <c:pt idx="3">
                  <c:v>0.81336302024086304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E2-4ABB-A41C-D50DFDEDA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5537487"/>
        <c:axId val="1664588207"/>
      </c:barChart>
      <c:catAx>
        <c:axId val="83553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4588207"/>
        <c:crosses val="autoZero"/>
        <c:auto val="1"/>
        <c:lblAlgn val="ctr"/>
        <c:lblOffset val="100"/>
        <c:noMultiLvlLbl val="0"/>
      </c:catAx>
      <c:valAx>
        <c:axId val="16645882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553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Biogas - MEA (GF)'!$AN$4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Biogas - MEA (GF)'!$AN$7,'Results Biogas - MEA (GF)'!$AN$10,'Results Biogas - MEA (GF)'!$AN$13,'Results Biogas - MEA (GF)'!$AN$16)</c:f>
              <c:numCache>
                <c:formatCode>0.0%</c:formatCode>
                <c:ptCount val="4"/>
                <c:pt idx="0">
                  <c:v>0.15202075904696982</c:v>
                </c:pt>
                <c:pt idx="1">
                  <c:v>0.24008618489025388</c:v>
                </c:pt>
                <c:pt idx="2">
                  <c:v>0.14022570763778078</c:v>
                </c:pt>
                <c:pt idx="3">
                  <c:v>0.10823266727759141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92-4A18-B9B3-481DAAFF9029}"/>
            </c:ext>
          </c:extLst>
        </c:ser>
        <c:ser>
          <c:idx val="1"/>
          <c:order val="1"/>
          <c:tx>
            <c:strRef>
              <c:f>'Results Biogas - MEA (GF)'!$AO$4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Biogas - MEA (GF)'!$AO$7,'Results Biogas - MEA (GF)'!$AO$10,'Results Biogas - MEA (GF)'!$AO$13,'Results Biogas - MEA (GF)'!$AO$16)</c:f>
              <c:numCache>
                <c:formatCode>0.0%</c:formatCode>
                <c:ptCount val="4"/>
                <c:pt idx="0">
                  <c:v>7.5410249278899198E-3</c:v>
                </c:pt>
                <c:pt idx="1">
                  <c:v>9.9119054645843089E-3</c:v>
                </c:pt>
                <c:pt idx="2">
                  <c:v>2.8586359708570952E-3</c:v>
                </c:pt>
                <c:pt idx="3">
                  <c:v>8.8259360510258948E-3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92-4A18-B9B3-481DAAFF9029}"/>
            </c:ext>
          </c:extLst>
        </c:ser>
        <c:ser>
          <c:idx val="2"/>
          <c:order val="2"/>
          <c:tx>
            <c:strRef>
              <c:f>'Results Biogas - MEA (GF)'!$AP$4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Biogas - MEA (GF)'!$AP$7,'Results Biogas - MEA (GF)'!$AP$10,'Results Biogas - MEA (GF)'!$AP$13,'Results Biogas - MEA (GF)'!$AP$16)</c:f>
              <c:numCache>
                <c:formatCode>0.0%</c:formatCode>
                <c:ptCount val="4"/>
                <c:pt idx="0">
                  <c:v>1.7225250551398626E-2</c:v>
                </c:pt>
                <c:pt idx="1">
                  <c:v>2.7279173664064224E-4</c:v>
                </c:pt>
                <c:pt idx="2">
                  <c:v>8.3906062926130884E-3</c:v>
                </c:pt>
                <c:pt idx="3">
                  <c:v>2.7808259771737131E-2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92-4A18-B9B3-481DAAFF9029}"/>
            </c:ext>
          </c:extLst>
        </c:ser>
        <c:ser>
          <c:idx val="3"/>
          <c:order val="3"/>
          <c:tx>
            <c:strRef>
              <c:f>'Results Biogas - MEA (GF)'!$AQ$4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Biogas - MEA (GF)'!$AQ$7,'Results Biogas - MEA (GF)'!$AQ$10,'Results Biogas - MEA (GF)'!$AQ$13,'Results Biogas - MEA (GF)'!$AQ$16)</c:f>
              <c:numCache>
                <c:formatCode>0.0%</c:formatCode>
                <c:ptCount val="4"/>
                <c:pt idx="0">
                  <c:v>0.82321296547374168</c:v>
                </c:pt>
                <c:pt idx="1">
                  <c:v>0.74972911790852115</c:v>
                </c:pt>
                <c:pt idx="2">
                  <c:v>0.84852505009874901</c:v>
                </c:pt>
                <c:pt idx="3">
                  <c:v>0.85513313689964554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92-4A18-B9B3-481DAAFF9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5537487"/>
        <c:axId val="1664588207"/>
      </c:barChart>
      <c:catAx>
        <c:axId val="83553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4588207"/>
        <c:crosses val="autoZero"/>
        <c:auto val="1"/>
        <c:lblAlgn val="ctr"/>
        <c:lblOffset val="100"/>
        <c:noMultiLvlLbl val="0"/>
      </c:catAx>
      <c:valAx>
        <c:axId val="16645882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553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Biogas - MEA (GF)'!$AN$35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(GF)'!$B$62:$B$76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Biogas - MEA (GF)'!$AN$38,'Results Biogas - MEA (GF)'!$AN$41,'Results Biogas - MEA (GF)'!$AN$44,'Results Biogas - MEA (GF)'!$AN$47,'Results Biogas - MEA (GF)'!$AN$50,'Results Biogas - MEA (GF)'!$AN$53,'Results Biogas - MEA (GF)'!$AN$56,'Results Biogas - MEA (GF)'!$AN$59,'Results Biogas - MEA (GF)'!$AN$62,'Results Biogas - MEA (GF)'!$AN$65,'Results Biogas - MEA (GF)'!$AN$68,'Results Biogas - MEA (GF)'!$AN$71,'Results Biogas - MEA (GF)'!$AN$74,'Results Biogas - MEA (GF)'!$AN$77,'Results Biogas - MEA (GF)'!$AN$80)</c:f>
              <c:numCache>
                <c:formatCode>0.0%</c:formatCode>
                <c:ptCount val="15"/>
                <c:pt idx="0">
                  <c:v>0.13742807137469137</c:v>
                </c:pt>
                <c:pt idx="1">
                  <c:v>0.4559044832218529</c:v>
                </c:pt>
                <c:pt idx="2">
                  <c:v>0.22722998705267453</c:v>
                </c:pt>
                <c:pt idx="3">
                  <c:v>4.9002503714641814E-2</c:v>
                </c:pt>
                <c:pt idx="4">
                  <c:v>8.7837846661350499E-2</c:v>
                </c:pt>
                <c:pt idx="5">
                  <c:v>0.10657261631566252</c:v>
                </c:pt>
                <c:pt idx="6">
                  <c:v>0.11439547791393115</c:v>
                </c:pt>
                <c:pt idx="7">
                  <c:v>9.1825656830694199E-2</c:v>
                </c:pt>
                <c:pt idx="8">
                  <c:v>0.22479188988481055</c:v>
                </c:pt>
                <c:pt idx="9">
                  <c:v>0.46292414269336662</c:v>
                </c:pt>
                <c:pt idx="10">
                  <c:v>0.25764433316738083</c:v>
                </c:pt>
                <c:pt idx="11">
                  <c:v>0.66415514802422626</c:v>
                </c:pt>
                <c:pt idx="12">
                  <c:v>0.15202075904696982</c:v>
                </c:pt>
                <c:pt idx="13">
                  <c:v>0.10750780865946455</c:v>
                </c:pt>
                <c:pt idx="14">
                  <c:v>0.44737069545490299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D-4D39-8171-4E43387DA4AF}"/>
            </c:ext>
          </c:extLst>
        </c:ser>
        <c:ser>
          <c:idx val="1"/>
          <c:order val="1"/>
          <c:tx>
            <c:strRef>
              <c:f>'Results Biogas - MEA (GF)'!$AO$35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(GF)'!$B$62:$B$76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Biogas - MEA (GF)'!$AO$38,'Results Biogas - MEA (GF)'!$AO$41,'Results Biogas - MEA (GF)'!$AO$44,'Results Biogas - MEA (GF)'!$AO$47,'Results Biogas - MEA (GF)'!$AO$50,'Results Biogas - MEA (GF)'!$AO$53,'Results Biogas - MEA (GF)'!$AO$56,'Results Biogas - MEA (GF)'!$AO$59,'Results Biogas - MEA (GF)'!$AO$62,'Results Biogas - MEA (GF)'!$AO$65,'Results Biogas - MEA (GF)'!$AO$68,'Results Biogas - MEA (GF)'!$AO$71,'Results Biogas - MEA (GF)'!$AO$74,'Results Biogas - MEA (GF)'!$AO$77,'Results Biogas - MEA (GF)'!$AO$80)</c:f>
              <c:numCache>
                <c:formatCode>0.0%</c:formatCode>
                <c:ptCount val="15"/>
                <c:pt idx="0">
                  <c:v>6.745794986706838E-3</c:v>
                </c:pt>
                <c:pt idx="1">
                  <c:v>1.9248000916351614E-3</c:v>
                </c:pt>
                <c:pt idx="2">
                  <c:v>1.091283105959962E-2</c:v>
                </c:pt>
                <c:pt idx="3">
                  <c:v>1.4996938077341119E-2</c:v>
                </c:pt>
                <c:pt idx="4">
                  <c:v>7.1330483107787902E-3</c:v>
                </c:pt>
                <c:pt idx="5">
                  <c:v>2.5582389323848911E-3</c:v>
                </c:pt>
                <c:pt idx="6">
                  <c:v>4.1151309281678948E-3</c:v>
                </c:pt>
                <c:pt idx="7">
                  <c:v>2.4705063036416712E-3</c:v>
                </c:pt>
                <c:pt idx="8">
                  <c:v>1.1043374952749038E-2</c:v>
                </c:pt>
                <c:pt idx="9">
                  <c:v>2.7131389039728015E-3</c:v>
                </c:pt>
                <c:pt idx="10">
                  <c:v>1.1652176309237533E-2</c:v>
                </c:pt>
                <c:pt idx="11">
                  <c:v>2.8690121640759379E-3</c:v>
                </c:pt>
                <c:pt idx="12">
                  <c:v>7.5410249278899198E-3</c:v>
                </c:pt>
                <c:pt idx="13">
                  <c:v>8.8302394448698147E-3</c:v>
                </c:pt>
                <c:pt idx="14">
                  <c:v>2.6297629950712918E-3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DD-4D39-8171-4E43387DA4AF}"/>
            </c:ext>
          </c:extLst>
        </c:ser>
        <c:ser>
          <c:idx val="2"/>
          <c:order val="2"/>
          <c:tx>
            <c:strRef>
              <c:f>'Results Biogas - MEA (GF)'!$AP$35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(GF)'!$B$62:$B$76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Biogas - MEA (GF)'!$AP$38,'Results Biogas - MEA (GF)'!$AP$41,'Results Biogas - MEA (GF)'!$AP$44,'Results Biogas - MEA (GF)'!$AP$47,'Results Biogas - MEA (GF)'!$AP$50,'Results Biogas - MEA (GF)'!$AP$53,'Results Biogas - MEA (GF)'!$AP$56,'Results Biogas - MEA (GF)'!$AP$59,'Results Biogas - MEA (GF)'!$AP$62,'Results Biogas - MEA (GF)'!$AP$65,'Results Biogas - MEA (GF)'!$AP$68,'Results Biogas - MEA (GF)'!$AP$71,'Results Biogas - MEA (GF)'!$AP$74,'Results Biogas - MEA (GF)'!$AP$77,'Results Biogas - MEA (GF)'!$AP$80)</c:f>
              <c:numCache>
                <c:formatCode>0.0%</c:formatCode>
                <c:ptCount val="15"/>
                <c:pt idx="0">
                  <c:v>9.1640807118777805E-3</c:v>
                </c:pt>
                <c:pt idx="1">
                  <c:v>2.2011152348137227E-3</c:v>
                </c:pt>
                <c:pt idx="2">
                  <c:v>-1.1001443347732353E-3</c:v>
                </c:pt>
                <c:pt idx="3">
                  <c:v>6.2156436846403554E-2</c:v>
                </c:pt>
                <c:pt idx="4">
                  <c:v>2.7603222929915926E-2</c:v>
                </c:pt>
                <c:pt idx="5">
                  <c:v>6.1048626341567028E-3</c:v>
                </c:pt>
                <c:pt idx="6">
                  <c:v>1.2598758087157323E-2</c:v>
                </c:pt>
                <c:pt idx="7">
                  <c:v>7.4332436273036387E-3</c:v>
                </c:pt>
                <c:pt idx="8">
                  <c:v>3.0381493456878766E-2</c:v>
                </c:pt>
                <c:pt idx="9">
                  <c:v>7.2651453965706866E-3</c:v>
                </c:pt>
                <c:pt idx="10">
                  <c:v>3.2516500085455362E-2</c:v>
                </c:pt>
                <c:pt idx="11">
                  <c:v>3.0639630694261769E-3</c:v>
                </c:pt>
                <c:pt idx="12">
                  <c:v>1.7225250551398626E-2</c:v>
                </c:pt>
                <c:pt idx="13">
                  <c:v>2.7824115262127136E-2</c:v>
                </c:pt>
                <c:pt idx="14">
                  <c:v>7.0597517558653395E-3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DD-4D39-8171-4E43387DA4AF}"/>
            </c:ext>
          </c:extLst>
        </c:ser>
        <c:ser>
          <c:idx val="3"/>
          <c:order val="3"/>
          <c:tx>
            <c:strRef>
              <c:f>'Results Biogas - MEA (GF)'!$AQ$35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(GF)'!$B$62:$B$76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Biogas - MEA (GF)'!$AQ$38,'Results Biogas - MEA (GF)'!$AQ$41,'Results Biogas - MEA (GF)'!$AQ$44,'Results Biogas - MEA (GF)'!$AQ$47,'Results Biogas - MEA (GF)'!$AQ$50,'Results Biogas - MEA (GF)'!$AQ$53,'Results Biogas - MEA (GF)'!$AQ$56,'Results Biogas - MEA (GF)'!$AQ$59,'Results Biogas - MEA (GF)'!$AQ$62,'Results Biogas - MEA (GF)'!$AQ$65,'Results Biogas - MEA (GF)'!$AQ$68,'Results Biogas - MEA (GF)'!$AQ$71,'Results Biogas - MEA (GF)'!$AQ$74,'Results Biogas - MEA (GF)'!$AQ$77,'Results Biogas - MEA (GF)'!$AQ$80)</c:f>
              <c:numCache>
                <c:formatCode>0.0%</c:formatCode>
                <c:ptCount val="15"/>
                <c:pt idx="0">
                  <c:v>0.84666205292672403</c:v>
                </c:pt>
                <c:pt idx="1">
                  <c:v>0.53996960145169826</c:v>
                </c:pt>
                <c:pt idx="2">
                  <c:v>0.76295732622249912</c:v>
                </c:pt>
                <c:pt idx="3">
                  <c:v>0.87384412136161349</c:v>
                </c:pt>
                <c:pt idx="4">
                  <c:v>0.8774258820979548</c:v>
                </c:pt>
                <c:pt idx="5">
                  <c:v>0.8847642821177959</c:v>
                </c:pt>
                <c:pt idx="6">
                  <c:v>0.86889063307074366</c:v>
                </c:pt>
                <c:pt idx="7">
                  <c:v>0.89827059323836045</c:v>
                </c:pt>
                <c:pt idx="8">
                  <c:v>0.73378324170556164</c:v>
                </c:pt>
                <c:pt idx="9">
                  <c:v>0.52709757300608995</c:v>
                </c:pt>
                <c:pt idx="10">
                  <c:v>0.69818699043792631</c:v>
                </c:pt>
                <c:pt idx="11">
                  <c:v>0.32991187674227168</c:v>
                </c:pt>
                <c:pt idx="12">
                  <c:v>0.82321296547374168</c:v>
                </c:pt>
                <c:pt idx="13">
                  <c:v>0.85583783663353852</c:v>
                </c:pt>
                <c:pt idx="14">
                  <c:v>0.54293978979416035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DD-4D39-8171-4E43387DA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5537487"/>
        <c:axId val="1664588207"/>
      </c:barChart>
      <c:catAx>
        <c:axId val="83553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4588207"/>
        <c:crosses val="autoZero"/>
        <c:auto val="1"/>
        <c:lblAlgn val="ctr"/>
        <c:lblOffset val="100"/>
        <c:noMultiLvlLbl val="0"/>
      </c:catAx>
      <c:valAx>
        <c:axId val="16645882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553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Biogas - MEA (GF)'!$AF$35</c:f>
              <c:strCache>
                <c:ptCount val="1"/>
                <c:pt idx="0">
                  <c:v>Biostimulant delivery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(GF)'!$B$81:$B$95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Biogas - MEA (GF)'!$AF$38,'Results Biogas - MEA (GF)'!$AF$41,'Results Biogas - MEA (GF)'!$AF$44,'Results Biogas - MEA (GF)'!$AF$47,'Results Biogas - MEA (GF)'!$AF$50,'Results Biogas - MEA (GF)'!$AF$53,'Results Biogas - MEA (GF)'!$AF$56,'Results Biogas - MEA (GF)'!$AF$59,'Results Biogas - MEA (GF)'!$AF$62,'Results Biogas - MEA (GF)'!$AF$65,'Results Biogas - MEA (GF)'!$AF$68,'Results Biogas - MEA (GF)'!$AF$71,'Results Biogas - MEA (GF)'!$AF$74,'Results Biogas - MEA (GF)'!$AF$77,'Results Biogas - MEA (GF)'!$AF$80)</c:f>
              <c:numCache>
                <c:formatCode>0.0%</c:formatCode>
                <c:ptCount val="15"/>
                <c:pt idx="0">
                  <c:v>2.403993629370935E-2</c:v>
                </c:pt>
                <c:pt idx="1">
                  <c:v>4.1843126701030992E-2</c:v>
                </c:pt>
                <c:pt idx="2">
                  <c:v>3.5415388643106324E-2</c:v>
                </c:pt>
                <c:pt idx="3">
                  <c:v>-0.40045243440368089</c:v>
                </c:pt>
                <c:pt idx="4">
                  <c:v>6.6093888948141277E-2</c:v>
                </c:pt>
                <c:pt idx="5">
                  <c:v>6.3675156724573995E-2</c:v>
                </c:pt>
                <c:pt idx="6">
                  <c:v>4.8943099553393855E-2</c:v>
                </c:pt>
                <c:pt idx="7">
                  <c:v>7.8225340963599621E-2</c:v>
                </c:pt>
                <c:pt idx="8">
                  <c:v>3.4232456612079153E-2</c:v>
                </c:pt>
                <c:pt idx="9">
                  <c:v>5.0193913863276547E-2</c:v>
                </c:pt>
                <c:pt idx="10">
                  <c:v>2.6404101694255458E-2</c:v>
                </c:pt>
                <c:pt idx="11">
                  <c:v>2.149773046834523E-2</c:v>
                </c:pt>
                <c:pt idx="12">
                  <c:v>5.1665836657851509E-2</c:v>
                </c:pt>
                <c:pt idx="13">
                  <c:v>4.8112960571058842E-2</c:v>
                </c:pt>
                <c:pt idx="14">
                  <c:v>4.1955219342059688E-2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36-4123-8088-49B1299FDBAE}"/>
            </c:ext>
          </c:extLst>
        </c:ser>
        <c:ser>
          <c:idx val="1"/>
          <c:order val="1"/>
          <c:tx>
            <c:strRef>
              <c:f>'Results Biogas - MEA (GF)'!$AG$35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(GF)'!$B$81:$B$95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Biogas - MEA (GF)'!$AG$38,'Results Biogas - MEA (GF)'!$AG$41,'Results Biogas - MEA (GF)'!$AG$44,'Results Biogas - MEA (GF)'!$AG$47,'Results Biogas - MEA (GF)'!$AG$50,'Results Biogas - MEA (GF)'!$AG$53,'Results Biogas - MEA (GF)'!$AG$56,'Results Biogas - MEA (GF)'!$AG$59,'Results Biogas - MEA (GF)'!$AG$62,'Results Biogas - MEA (GF)'!$AG$65,'Results Biogas - MEA (GF)'!$AG$68,'Results Biogas - MEA (GF)'!$AG$71,'Results Biogas - MEA (GF)'!$AG$74,'Results Biogas - MEA (GF)'!$AG$77,'Results Biogas - MEA (GF)'!$AG$80)</c:f>
              <c:numCache>
                <c:formatCode>0.0%</c:formatCode>
                <c:ptCount val="15"/>
                <c:pt idx="0">
                  <c:v>0.1341243092938765</c:v>
                </c:pt>
                <c:pt idx="1">
                  <c:v>0.43682801416683287</c:v>
                </c:pt>
                <c:pt idx="2">
                  <c:v>0.219182548749836</c:v>
                </c:pt>
                <c:pt idx="3">
                  <c:v>6.862567561904559E-2</c:v>
                </c:pt>
                <c:pt idx="4">
                  <c:v>8.203230177867131E-2</c:v>
                </c:pt>
                <c:pt idx="5">
                  <c:v>9.9786588269214813E-2</c:v>
                </c:pt>
                <c:pt idx="6">
                  <c:v>0.10879660864993164</c:v>
                </c:pt>
                <c:pt idx="7">
                  <c:v>8.4642563515906669E-2</c:v>
                </c:pt>
                <c:pt idx="8">
                  <c:v>0.21709671126758143</c:v>
                </c:pt>
                <c:pt idx="9">
                  <c:v>0.43968816814978462</c:v>
                </c:pt>
                <c:pt idx="10">
                  <c:v>0.25084146599348073</c:v>
                </c:pt>
                <c:pt idx="11">
                  <c:v>0.64987731966283735</c:v>
                </c:pt>
                <c:pt idx="12">
                  <c:v>0.14416647934144636</c:v>
                </c:pt>
                <c:pt idx="13">
                  <c:v>0.10233528970035084</c:v>
                </c:pt>
                <c:pt idx="14">
                  <c:v>0.42860115979988278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36-4123-8088-49B1299FDBAE}"/>
            </c:ext>
          </c:extLst>
        </c:ser>
        <c:ser>
          <c:idx val="2"/>
          <c:order val="2"/>
          <c:tx>
            <c:strRef>
              <c:f>'Results Biogas - MEA (GF)'!$AH$35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(GF)'!$B$81:$B$95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Biogas - MEA (GF)'!$AH$38,'Results Biogas - MEA (GF)'!$AH$41,'Results Biogas - MEA (GF)'!$AH$44,'Results Biogas - MEA (GF)'!$AH$47,'Results Biogas - MEA (GF)'!$AH$50,'Results Biogas - MEA (GF)'!$AH$53,'Results Biogas - MEA (GF)'!$AH$56,'Results Biogas - MEA (GF)'!$AH$59,'Results Biogas - MEA (GF)'!$AH$62,'Results Biogas - MEA (GF)'!$AH$65,'Results Biogas - MEA (GF)'!$AH$68,'Results Biogas - MEA (GF)'!$AH$71,'Results Biogas - MEA (GF)'!$AH$74,'Results Biogas - MEA (GF)'!$AH$77,'Results Biogas - MEA (GF)'!$AH$80)</c:f>
              <c:numCache>
                <c:formatCode>0.0%</c:formatCode>
                <c:ptCount val="15"/>
                <c:pt idx="0">
                  <c:v>6.5836265049758844E-3</c:v>
                </c:pt>
                <c:pt idx="1">
                  <c:v>1.8442604375266782E-3</c:v>
                </c:pt>
                <c:pt idx="2">
                  <c:v>1.0526348906427362E-2</c:v>
                </c:pt>
                <c:pt idx="3">
                  <c:v>2.1002498439013622E-2</c:v>
                </c:pt>
                <c:pt idx="4">
                  <c:v>6.6615974078644471E-3</c:v>
                </c:pt>
                <c:pt idx="5">
                  <c:v>2.3953426674263559E-3</c:v>
                </c:pt>
                <c:pt idx="6">
                  <c:v>3.9137236654753051E-3</c:v>
                </c:pt>
                <c:pt idx="7">
                  <c:v>2.2772501056865014E-3</c:v>
                </c:pt>
                <c:pt idx="8">
                  <c:v>1.0665333098828216E-2</c:v>
                </c:pt>
                <c:pt idx="9">
                  <c:v>2.5769558435277261E-3</c:v>
                </c:pt>
                <c:pt idx="10">
                  <c:v>1.1344511061009012E-2</c:v>
                </c:pt>
                <c:pt idx="11">
                  <c:v>2.8073349138621915E-3</c:v>
                </c:pt>
                <c:pt idx="12">
                  <c:v>7.151411565732845E-3</c:v>
                </c:pt>
                <c:pt idx="13">
                  <c:v>8.4053904826258026E-3</c:v>
                </c:pt>
                <c:pt idx="14">
                  <c:v>2.5194307117954529E-3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36-4123-8088-49B1299FDBAE}"/>
            </c:ext>
          </c:extLst>
        </c:ser>
        <c:ser>
          <c:idx val="3"/>
          <c:order val="3"/>
          <c:tx>
            <c:strRef>
              <c:f>'Results Biogas - MEA (GF)'!$AI$35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(GF)'!$B$81:$B$95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Biogas - MEA (GF)'!$AI$38,'Results Biogas - MEA (GF)'!$AI$41,'Results Biogas - MEA (GF)'!$AI$44,'Results Biogas - MEA (GF)'!$AI$47,'Results Biogas - MEA (GF)'!$AI$50,'Results Biogas - MEA (GF)'!$AI$53,'Results Biogas - MEA (GF)'!$AI$56,'Results Biogas - MEA (GF)'!$AI$59,'Results Biogas - MEA (GF)'!$AI$62,'Results Biogas - MEA (GF)'!$AI$65,'Results Biogas - MEA (GF)'!$AI$68,'Results Biogas - MEA (GF)'!$AI$71,'Results Biogas - MEA (GF)'!$AI$74,'Results Biogas - MEA (GF)'!$AI$77,'Results Biogas - MEA (GF)'!$AI$80)</c:f>
              <c:numCache>
                <c:formatCode>0.0%</c:formatCode>
                <c:ptCount val="15"/>
                <c:pt idx="0">
                  <c:v>8.9437767953739408E-3</c:v>
                </c:pt>
                <c:pt idx="1">
                  <c:v>2.1090136911598775E-3</c:v>
                </c:pt>
                <c:pt idx="2">
                  <c:v>-1.061182295593751E-3</c:v>
                </c:pt>
                <c:pt idx="3">
                  <c:v>8.7047133295404561E-2</c:v>
                </c:pt>
                <c:pt idx="4">
                  <c:v>2.5778818578975269E-2</c:v>
                </c:pt>
                <c:pt idx="5">
                  <c:v>5.7161345491447369E-3</c:v>
                </c:pt>
                <c:pt idx="6">
                  <c:v>1.1982135815848449E-2</c:v>
                </c:pt>
                <c:pt idx="7">
                  <c:v>6.8517756100923187E-3</c:v>
                </c:pt>
                <c:pt idx="8">
                  <c:v>2.9341460300305933E-2</c:v>
                </c:pt>
                <c:pt idx="9">
                  <c:v>6.900479314330992E-3</c:v>
                </c:pt>
                <c:pt idx="10">
                  <c:v>3.1657931110457671E-2</c:v>
                </c:pt>
                <c:pt idx="11">
                  <c:v>2.9980948171947396E-3</c:v>
                </c:pt>
                <c:pt idx="12">
                  <c:v>1.6335293570019439E-2</c:v>
                </c:pt>
                <c:pt idx="13">
                  <c:v>2.6485414701595794E-2</c:v>
                </c:pt>
                <c:pt idx="14">
                  <c:v>6.7635583224474709E-3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36-4123-8088-49B1299FDBAE}"/>
            </c:ext>
          </c:extLst>
        </c:ser>
        <c:ser>
          <c:idx val="4"/>
          <c:order val="4"/>
          <c:tx>
            <c:strRef>
              <c:f>'Results Biogas - MEA (GF)'!$AJ$35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MEA (GF)'!$B$81:$B$95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Biogas - MEA (GF)'!$AJ$38,'Results Biogas - MEA (GF)'!$AJ$41,'Results Biogas - MEA (GF)'!$AJ$44,'Results Biogas - MEA (GF)'!$AJ$47,'Results Biogas - MEA (GF)'!$AJ$50,'Results Biogas - MEA (GF)'!$AJ$53,'Results Biogas - MEA (GF)'!$AJ$56,'Results Biogas - MEA (GF)'!$AJ$59,'Results Biogas - MEA (GF)'!$AJ$62,'Results Biogas - MEA (GF)'!$AJ$65,'Results Biogas - MEA (GF)'!$AJ$68,'Results Biogas - MEA (GF)'!$AJ$71,'Results Biogas - MEA (GF)'!$AJ$74,'Results Biogas - MEA (GF)'!$AJ$77,'Results Biogas - MEA (GF)'!$AJ$80)</c:f>
              <c:numCache>
                <c:formatCode>0.0%</c:formatCode>
                <c:ptCount val="15"/>
                <c:pt idx="0">
                  <c:v>0.82630835111206435</c:v>
                </c:pt>
                <c:pt idx="1">
                  <c:v>0.5173755850034496</c:v>
                </c:pt>
                <c:pt idx="2">
                  <c:v>0.73593689599622403</c:v>
                </c:pt>
                <c:pt idx="3">
                  <c:v>1.2237771270502171</c:v>
                </c:pt>
                <c:pt idx="4">
                  <c:v>0.81943339328634768</c:v>
                </c:pt>
                <c:pt idx="5">
                  <c:v>0.82842677778964013</c:v>
                </c:pt>
                <c:pt idx="6">
                  <c:v>0.82636443231535073</c:v>
                </c:pt>
                <c:pt idx="7">
                  <c:v>0.82800306980471494</c:v>
                </c:pt>
                <c:pt idx="8">
                  <c:v>0.70866403872120531</c:v>
                </c:pt>
                <c:pt idx="9">
                  <c:v>0.50064048282908014</c:v>
                </c:pt>
                <c:pt idx="10">
                  <c:v>0.67975199014079712</c:v>
                </c:pt>
                <c:pt idx="11">
                  <c:v>0.32281952013776039</c:v>
                </c:pt>
                <c:pt idx="12">
                  <c:v>0.7806809788649498</c:v>
                </c:pt>
                <c:pt idx="13">
                  <c:v>0.81466094454436877</c:v>
                </c:pt>
                <c:pt idx="14">
                  <c:v>0.52016063182381467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36-4123-8088-49B1299FD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5537487"/>
        <c:axId val="1664588207"/>
      </c:barChart>
      <c:catAx>
        <c:axId val="83553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4588207"/>
        <c:crosses val="autoZero"/>
        <c:auto val="1"/>
        <c:lblAlgn val="ctr"/>
        <c:lblOffset val="100"/>
        <c:noMultiLvlLbl val="0"/>
      </c:catAx>
      <c:valAx>
        <c:axId val="16645882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553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Flue gas - membran (GF)'!$N$4</c:f>
              <c:strCache>
                <c:ptCount val="1"/>
                <c:pt idx="0">
                  <c:v>Biostimulant delivery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(GF)'!$L$5:$L$19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membran (GF)'!$N$5:$N$19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87-452D-864B-D48AFF630732}"/>
            </c:ext>
          </c:extLst>
        </c:ser>
        <c:ser>
          <c:idx val="1"/>
          <c:order val="1"/>
          <c:tx>
            <c:strRef>
              <c:f>'Results Flue gas - membran (GF)'!$O$4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(GF)'!$L$5:$L$19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membran (GF)'!$O$5:$O$19</c:f>
              <c:numCache>
                <c:formatCode>0%</c:formatCode>
                <c:ptCount val="15"/>
                <c:pt idx="0">
                  <c:v>0.96367303892003342</c:v>
                </c:pt>
                <c:pt idx="1">
                  <c:v>0.9564518342798547</c:v>
                </c:pt>
                <c:pt idx="2">
                  <c:v>0.95752600199116222</c:v>
                </c:pt>
                <c:pt idx="3">
                  <c:v>0.97211764824564861</c:v>
                </c:pt>
                <c:pt idx="4">
                  <c:v>0.92772384034411071</c:v>
                </c:pt>
                <c:pt idx="5">
                  <c:v>0.91945899806021214</c:v>
                </c:pt>
                <c:pt idx="6">
                  <c:v>0.93130257299588193</c:v>
                </c:pt>
                <c:pt idx="7">
                  <c:v>0.91178649858913152</c:v>
                </c:pt>
                <c:pt idx="8">
                  <c:v>0.96107033746549386</c:v>
                </c:pt>
                <c:pt idx="9">
                  <c:v>0.95045651848525659</c:v>
                </c:pt>
                <c:pt idx="10">
                  <c:v>0.96657929214461236</c:v>
                </c:pt>
                <c:pt idx="11">
                  <c:v>0.9794862317501386</c:v>
                </c:pt>
                <c:pt idx="12">
                  <c:v>0.9396867710020973</c:v>
                </c:pt>
                <c:pt idx="13">
                  <c:v>0.94084394098486912</c:v>
                </c:pt>
                <c:pt idx="14">
                  <c:v>0.95054331268406633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87-452D-864B-D48AFF630732}"/>
            </c:ext>
          </c:extLst>
        </c:ser>
        <c:ser>
          <c:idx val="2"/>
          <c:order val="2"/>
          <c:tx>
            <c:strRef>
              <c:f>'Results Flue gas - membran (GF)'!$P$4</c:f>
              <c:strCache>
                <c:ptCount val="1"/>
                <c:pt idx="0">
                  <c:v>Final tank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(GF)'!$L$5:$L$19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membran (GF)'!$P$5:$P$19</c:f>
              <c:numCache>
                <c:formatCode>0%</c:formatCode>
                <c:ptCount val="15"/>
                <c:pt idx="0">
                  <c:v>1.9298687821304334E-8</c:v>
                </c:pt>
                <c:pt idx="1">
                  <c:v>2.1907555980711756E-7</c:v>
                </c:pt>
                <c:pt idx="2">
                  <c:v>8.1967206396130616E-8</c:v>
                </c:pt>
                <c:pt idx="3">
                  <c:v>2.7512763629593828E-6</c:v>
                </c:pt>
                <c:pt idx="4">
                  <c:v>1.1736785329004564E-12</c:v>
                </c:pt>
                <c:pt idx="5">
                  <c:v>3.7416470268065414E-6</c:v>
                </c:pt>
                <c:pt idx="6">
                  <c:v>2.9956184145213159E-5</c:v>
                </c:pt>
                <c:pt idx="7">
                  <c:v>1.0896960592894498E-8</c:v>
                </c:pt>
                <c:pt idx="8">
                  <c:v>2.311434988841061E-7</c:v>
                </c:pt>
                <c:pt idx="9">
                  <c:v>0</c:v>
                </c:pt>
                <c:pt idx="10">
                  <c:v>2.5400804654032836E-6</c:v>
                </c:pt>
                <c:pt idx="11">
                  <c:v>0</c:v>
                </c:pt>
                <c:pt idx="12">
                  <c:v>7.8973675435282648E-11</c:v>
                </c:pt>
                <c:pt idx="13">
                  <c:v>4.0293527430364646E-4</c:v>
                </c:pt>
                <c:pt idx="14">
                  <c:v>1.21864527267188E-2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87-452D-864B-D48AFF630732}"/>
            </c:ext>
          </c:extLst>
        </c:ser>
        <c:ser>
          <c:idx val="3"/>
          <c:order val="3"/>
          <c:tx>
            <c:strRef>
              <c:f>'Results Flue gas - membran (GF)'!$Q$4</c:f>
              <c:strCache>
                <c:ptCount val="1"/>
                <c:pt idx="0">
                  <c:v>Transport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(GF)'!$L$5:$L$19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membran (GF)'!$Q$5:$Q$19</c:f>
              <c:numCache>
                <c:formatCode>0%</c:formatCode>
                <c:ptCount val="15"/>
                <c:pt idx="0">
                  <c:v>3.6326941781278745E-2</c:v>
                </c:pt>
                <c:pt idx="1">
                  <c:v>4.3547946644585563E-2</c:v>
                </c:pt>
                <c:pt idx="2">
                  <c:v>4.2473916041631324E-2</c:v>
                </c:pt>
                <c:pt idx="3">
                  <c:v>2.787960047798841E-2</c:v>
                </c:pt>
                <c:pt idx="4">
                  <c:v>7.2276159654715608E-2</c:v>
                </c:pt>
                <c:pt idx="5">
                  <c:v>8.0537260292760968E-2</c:v>
                </c:pt>
                <c:pt idx="6">
                  <c:v>6.8667470819972862E-2</c:v>
                </c:pt>
                <c:pt idx="7">
                  <c:v>8.8213490513907852E-2</c:v>
                </c:pt>
                <c:pt idx="8">
                  <c:v>3.8929431391007345E-2</c:v>
                </c:pt>
                <c:pt idx="9">
                  <c:v>4.9543481514743304E-2</c:v>
                </c:pt>
                <c:pt idx="10">
                  <c:v>3.3418167774922257E-2</c:v>
                </c:pt>
                <c:pt idx="11">
                  <c:v>2.0513768249861397E-2</c:v>
                </c:pt>
                <c:pt idx="12">
                  <c:v>6.0313228918928943E-2</c:v>
                </c:pt>
                <c:pt idx="13">
                  <c:v>5.8753123740827272E-2</c:v>
                </c:pt>
                <c:pt idx="14">
                  <c:v>3.7270234589214996E-2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87-452D-864B-D48AFF630732}"/>
            </c:ext>
          </c:extLst>
        </c:ser>
        <c:ser>
          <c:idx val="4"/>
          <c:order val="4"/>
          <c:tx>
            <c:strRef>
              <c:f>'Results Flue gas - membran (GF)'!$R$4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(GF)'!$L$5:$L$19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membran (GF)'!$R$5:$R$19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4-6C87-452D-864B-D48AFF630732}"/>
            </c:ext>
          </c:extLst>
        </c:ser>
        <c:ser>
          <c:idx val="5"/>
          <c:order val="5"/>
          <c:tx>
            <c:strRef>
              <c:f>'Results Flue gas - membran (GF)'!$S$4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(GF)'!$L$5:$L$19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membran (GF)'!$S$5:$S$19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5-6C87-452D-864B-D48AFF630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6114735"/>
        <c:axId val="1862555151"/>
      </c:barChart>
      <c:catAx>
        <c:axId val="1526114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55151"/>
        <c:crosses val="autoZero"/>
        <c:auto val="1"/>
        <c:lblAlgn val="ctr"/>
        <c:lblOffset val="100"/>
        <c:noMultiLvlLbl val="0"/>
      </c:catAx>
      <c:valAx>
        <c:axId val="186255515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6114735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Flue gas - membran (GF)'!$N$23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membran (GF)'!$N$24:$N$38</c:f>
              <c:numCache>
                <c:formatCode>0%</c:formatCode>
                <c:ptCount val="15"/>
                <c:pt idx="0">
                  <c:v>0.79583506463538856</c:v>
                </c:pt>
                <c:pt idx="1">
                  <c:v>0.52070437594993324</c:v>
                </c:pt>
                <c:pt idx="2">
                  <c:v>0.73831398945646021</c:v>
                </c:pt>
                <c:pt idx="3">
                  <c:v>0.95070199050626514</c:v>
                </c:pt>
                <c:pt idx="4">
                  <c:v>0.90187567324698947</c:v>
                </c:pt>
                <c:pt idx="5">
                  <c:v>0.87063065814268126</c:v>
                </c:pt>
                <c:pt idx="6">
                  <c:v>0.82763168281602961</c:v>
                </c:pt>
                <c:pt idx="7">
                  <c:v>0.90300689083690444</c:v>
                </c:pt>
                <c:pt idx="8">
                  <c:v>0.73987525947563593</c:v>
                </c:pt>
                <c:pt idx="9">
                  <c:v>0.52872012632982957</c:v>
                </c:pt>
                <c:pt idx="10">
                  <c:v>0.70394214733166627</c:v>
                </c:pt>
                <c:pt idx="11">
                  <c:v>0.28840301446816941</c:v>
                </c:pt>
                <c:pt idx="12">
                  <c:v>0.81957029210720544</c:v>
                </c:pt>
                <c:pt idx="13">
                  <c:v>0.86790140469739463</c:v>
                </c:pt>
                <c:pt idx="14">
                  <c:v>0.47837496203220053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6D-4E35-A40D-770C2F29D0A6}"/>
            </c:ext>
          </c:extLst>
        </c:ser>
        <c:ser>
          <c:idx val="1"/>
          <c:order val="1"/>
          <c:tx>
            <c:strRef>
              <c:f>'Results Flue gas - membran (GF)'!$O$23</c:f>
              <c:strCache>
                <c:ptCount val="1"/>
                <c:pt idx="0">
                  <c:v>Phosphate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membran (GF)'!$O$24:$O$38</c:f>
              <c:numCache>
                <c:formatCode>0%</c:formatCode>
                <c:ptCount val="15"/>
                <c:pt idx="0">
                  <c:v>0.2000902035507621</c:v>
                </c:pt>
                <c:pt idx="1">
                  <c:v>0.4784115643848395</c:v>
                </c:pt>
                <c:pt idx="2">
                  <c:v>0.25246188236316403</c:v>
                </c:pt>
                <c:pt idx="3">
                  <c:v>4.3097234417108977E-2</c:v>
                </c:pt>
                <c:pt idx="4">
                  <c:v>9.4863240520009745E-2</c:v>
                </c:pt>
                <c:pt idx="5">
                  <c:v>0.10101894914954937</c:v>
                </c:pt>
                <c:pt idx="6">
                  <c:v>0.16983818629857683</c:v>
                </c:pt>
                <c:pt idx="7">
                  <c:v>9.5888529788982005E-2</c:v>
                </c:pt>
                <c:pt idx="8">
                  <c:v>0.24841148076794667</c:v>
                </c:pt>
                <c:pt idx="9">
                  <c:v>0.47009374208212662</c:v>
                </c:pt>
                <c:pt idx="10">
                  <c:v>0.28375079839229655</c:v>
                </c:pt>
                <c:pt idx="11">
                  <c:v>0.61438288201259694</c:v>
                </c:pt>
                <c:pt idx="12">
                  <c:v>0.14959642836761761</c:v>
                </c:pt>
                <c:pt idx="13">
                  <c:v>0.10233108407068489</c:v>
                </c:pt>
                <c:pt idx="14">
                  <c:v>0.51820268046605289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6D-4E35-A40D-770C2F29D0A6}"/>
            </c:ext>
          </c:extLst>
        </c:ser>
        <c:ser>
          <c:idx val="2"/>
          <c:order val="2"/>
          <c:tx>
            <c:strRef>
              <c:f>'Results Flue gas - membran (GF)'!$P$23</c:f>
              <c:strCache>
                <c:ptCount val="1"/>
                <c:pt idx="0">
                  <c:v>Enzyme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membran (GF)'!$P$24:$P$38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6.545014218273307E-4</c:v>
                </c:pt>
                <c:pt idx="3">
                  <c:v>0</c:v>
                </c:pt>
                <c:pt idx="4">
                  <c:v>0</c:v>
                </c:pt>
                <c:pt idx="5">
                  <c:v>8.1110947695423319E-3</c:v>
                </c:pt>
                <c:pt idx="6">
                  <c:v>6.5981461212262453E-11</c:v>
                </c:pt>
                <c:pt idx="7">
                  <c:v>4.6024686820850666E-10</c:v>
                </c:pt>
                <c:pt idx="8">
                  <c:v>5.472875823206634E-4</c:v>
                </c:pt>
                <c:pt idx="9">
                  <c:v>0</c:v>
                </c:pt>
                <c:pt idx="10">
                  <c:v>1.6725102201474958E-3</c:v>
                </c:pt>
                <c:pt idx="11">
                  <c:v>9.5959097466725984E-2</c:v>
                </c:pt>
                <c:pt idx="12">
                  <c:v>6.5636838258224467E-3</c:v>
                </c:pt>
                <c:pt idx="13">
                  <c:v>4.558370073629448E-3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6D-4E35-A40D-770C2F29D0A6}"/>
            </c:ext>
          </c:extLst>
        </c:ser>
        <c:ser>
          <c:idx val="3"/>
          <c:order val="3"/>
          <c:tx>
            <c:strRef>
              <c:f>'Results Flue gas - membran (GF)'!$Q$23</c:f>
              <c:strCache>
                <c:ptCount val="1"/>
                <c:pt idx="0">
                  <c:v>Reactor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membran (GF)'!$Q$24:$Q$38</c:f>
              <c:numCache>
                <c:formatCode>0%</c:formatCode>
                <c:ptCount val="15"/>
                <c:pt idx="0">
                  <c:v>3.3323259029339812E-9</c:v>
                </c:pt>
                <c:pt idx="1">
                  <c:v>3.8184188275594279E-8</c:v>
                </c:pt>
                <c:pt idx="2">
                  <c:v>1.4254707234968214E-8</c:v>
                </c:pt>
                <c:pt idx="3">
                  <c:v>3.2722094097948255E-7</c:v>
                </c:pt>
                <c:pt idx="4">
                  <c:v>2.1077343310259529E-13</c:v>
                </c:pt>
                <c:pt idx="5">
                  <c:v>6.7822090599536583E-7</c:v>
                </c:pt>
                <c:pt idx="6">
                  <c:v>5.3735608733286093E-6</c:v>
                </c:pt>
                <c:pt idx="7">
                  <c:v>1.9971105134712034E-9</c:v>
                </c:pt>
                <c:pt idx="8">
                  <c:v>4.010525310601944E-8</c:v>
                </c:pt>
                <c:pt idx="9">
                  <c:v>0</c:v>
                </c:pt>
                <c:pt idx="10">
                  <c:v>4.3732777159169897E-7</c:v>
                </c:pt>
                <c:pt idx="11">
                  <c:v>0</c:v>
                </c:pt>
                <c:pt idx="12">
                  <c:v>1.4029867999994415E-11</c:v>
                </c:pt>
                <c:pt idx="13">
                  <c:v>7.1469212537943587E-5</c:v>
                </c:pt>
                <c:pt idx="14">
                  <c:v>2.1464794215034547E-3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6D-4E35-A40D-770C2F29D0A6}"/>
            </c:ext>
          </c:extLst>
        </c:ser>
        <c:ser>
          <c:idx val="4"/>
          <c:order val="4"/>
          <c:tx>
            <c:strRef>
              <c:f>'Results Flue gas - membran (GF)'!$R$23</c:f>
              <c:strCache>
                <c:ptCount val="1"/>
                <c:pt idx="0">
                  <c:v>Steam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membran (GF)'!$R$24:$R$38</c:f>
              <c:numCache>
                <c:formatCode>0%</c:formatCode>
                <c:ptCount val="15"/>
                <c:pt idx="0">
                  <c:v>3.1191299326574127E-5</c:v>
                </c:pt>
                <c:pt idx="1">
                  <c:v>6.7555984574269688E-5</c:v>
                </c:pt>
                <c:pt idx="2">
                  <c:v>3.4988426838255585E-3</c:v>
                </c:pt>
                <c:pt idx="3">
                  <c:v>1.1298449478641537E-4</c:v>
                </c:pt>
                <c:pt idx="4">
                  <c:v>4.5894836168797354E-5</c:v>
                </c:pt>
                <c:pt idx="5">
                  <c:v>1.898558657684437E-2</c:v>
                </c:pt>
                <c:pt idx="6">
                  <c:v>2.2944006175969996E-5</c:v>
                </c:pt>
                <c:pt idx="7">
                  <c:v>5.1680983192244104E-5</c:v>
                </c:pt>
                <c:pt idx="8">
                  <c:v>6.0097833262569436E-3</c:v>
                </c:pt>
                <c:pt idx="9">
                  <c:v>7.1673114506442485E-5</c:v>
                </c:pt>
                <c:pt idx="10">
                  <c:v>5.2317216918546933E-3</c:v>
                </c:pt>
                <c:pt idx="11">
                  <c:v>1.4719068425553224E-5</c:v>
                </c:pt>
                <c:pt idx="12">
                  <c:v>2.06583405583846E-2</c:v>
                </c:pt>
                <c:pt idx="13">
                  <c:v>2.0759898142818541E-2</c:v>
                </c:pt>
                <c:pt idx="14">
                  <c:v>3.8706184477620725E-5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6D-4E35-A40D-770C2F29D0A6}"/>
            </c:ext>
          </c:extLst>
        </c:ser>
        <c:ser>
          <c:idx val="5"/>
          <c:order val="5"/>
          <c:tx>
            <c:strRef>
              <c:f>'Results Flue gas - membran (GF)'!$S$23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membran (GF)'!$S$24:$S$38</c:f>
              <c:numCache>
                <c:formatCode>0%</c:formatCode>
                <c:ptCount val="15"/>
                <c:pt idx="0">
                  <c:v>4.0435371821968807E-3</c:v>
                </c:pt>
                <c:pt idx="1">
                  <c:v>8.1646549646477678E-4</c:v>
                </c:pt>
                <c:pt idx="2">
                  <c:v>5.0707698200155001E-3</c:v>
                </c:pt>
                <c:pt idx="3">
                  <c:v>6.0874633608985216E-3</c:v>
                </c:pt>
                <c:pt idx="4">
                  <c:v>3.2151913966212485E-3</c:v>
                </c:pt>
                <c:pt idx="5">
                  <c:v>1.2530331404766208E-3</c:v>
                </c:pt>
                <c:pt idx="6">
                  <c:v>2.5018132523628328E-3</c:v>
                </c:pt>
                <c:pt idx="7">
                  <c:v>1.0528959335639892E-3</c:v>
                </c:pt>
                <c:pt idx="8">
                  <c:v>5.1561487425864526E-3</c:v>
                </c:pt>
                <c:pt idx="9">
                  <c:v>1.1144584735372114E-3</c:v>
                </c:pt>
                <c:pt idx="10">
                  <c:v>5.4023850362634809E-3</c:v>
                </c:pt>
                <c:pt idx="11">
                  <c:v>1.2402869840821499E-3</c:v>
                </c:pt>
                <c:pt idx="12">
                  <c:v>3.6112551269403999E-3</c:v>
                </c:pt>
                <c:pt idx="13">
                  <c:v>4.3777738029344305E-3</c:v>
                </c:pt>
                <c:pt idx="14">
                  <c:v>1.2371718957654486E-3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6D-4E35-A40D-770C2F29D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2589263"/>
        <c:axId val="1862564271"/>
      </c:barChart>
      <c:catAx>
        <c:axId val="1422589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64271"/>
        <c:crosses val="autoZero"/>
        <c:auto val="1"/>
        <c:lblAlgn val="ctr"/>
        <c:lblOffset val="100"/>
        <c:noMultiLvlLbl val="0"/>
      </c:catAx>
      <c:valAx>
        <c:axId val="186256427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22589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Flue gas - membran (GF)'!$K$42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(GF)'!$H$43:$H$57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membran (GF)'!$K$43:$K$57</c:f>
              <c:numCache>
                <c:formatCode>0%</c:formatCode>
                <c:ptCount val="15"/>
                <c:pt idx="0">
                  <c:v>1.2592610536704074E-2</c:v>
                </c:pt>
                <c:pt idx="1">
                  <c:v>3.8861897698916179E-3</c:v>
                </c:pt>
                <c:pt idx="2">
                  <c:v>1.7022023946864126E-2</c:v>
                </c:pt>
                <c:pt idx="3">
                  <c:v>1.5869721631095023E-2</c:v>
                </c:pt>
                <c:pt idx="4">
                  <c:v>8.835344793888384E-3</c:v>
                </c:pt>
                <c:pt idx="5">
                  <c:v>3.5669160565201361E-3</c:v>
                </c:pt>
                <c:pt idx="6">
                  <c:v>7.491954555767311E-3</c:v>
                </c:pt>
                <c:pt idx="7">
                  <c:v>2.8898263016559709E-3</c:v>
                </c:pt>
                <c:pt idx="8">
                  <c:v>1.7272067797843717E-2</c:v>
                </c:pt>
                <c:pt idx="9">
                  <c:v>5.2241453119982063E-3</c:v>
                </c:pt>
                <c:pt idx="10">
                  <c:v>1.9020681300941745E-2</c:v>
                </c:pt>
                <c:pt idx="11">
                  <c:v>1.0658526037931586E-2</c:v>
                </c:pt>
                <c:pt idx="12">
                  <c:v>1.0920670862516763E-2</c:v>
                </c:pt>
                <c:pt idx="13">
                  <c:v>1.2501446849094352E-2</c:v>
                </c:pt>
                <c:pt idx="14">
                  <c:v>6.4097201089781388E-3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73-4516-B382-96CD03481566}"/>
            </c:ext>
          </c:extLst>
        </c:ser>
        <c:ser>
          <c:idx val="1"/>
          <c:order val="1"/>
          <c:tx>
            <c:strRef>
              <c:f>'Results Flue gas - membran (GF)'!$J$42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(GF)'!$H$43:$H$57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membran (GF)'!$J$43:$J$57</c:f>
              <c:numCache>
                <c:formatCode>0%</c:formatCode>
                <c:ptCount val="15"/>
                <c:pt idx="0">
                  <c:v>0.98740738946329598</c:v>
                </c:pt>
                <c:pt idx="1">
                  <c:v>0.99611381023010837</c:v>
                </c:pt>
                <c:pt idx="2">
                  <c:v>0.98297797605313586</c:v>
                </c:pt>
                <c:pt idx="3">
                  <c:v>0.98413027836890488</c:v>
                </c:pt>
                <c:pt idx="4">
                  <c:v>0.99116465520611163</c:v>
                </c:pt>
                <c:pt idx="5">
                  <c:v>0.99643308394347985</c:v>
                </c:pt>
                <c:pt idx="6">
                  <c:v>0.99250804544423266</c:v>
                </c:pt>
                <c:pt idx="7">
                  <c:v>0.99711017369834409</c:v>
                </c:pt>
                <c:pt idx="8">
                  <c:v>0.98272793220215626</c:v>
                </c:pt>
                <c:pt idx="9">
                  <c:v>0.99477585468800178</c:v>
                </c:pt>
                <c:pt idx="10">
                  <c:v>0.9809793186990583</c:v>
                </c:pt>
                <c:pt idx="11">
                  <c:v>0.9893414739620684</c:v>
                </c:pt>
                <c:pt idx="12">
                  <c:v>0.98907932913748331</c:v>
                </c:pt>
                <c:pt idx="13">
                  <c:v>0.98749855315090562</c:v>
                </c:pt>
                <c:pt idx="14">
                  <c:v>0.99359027989102178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73-4516-B382-96CD03481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6114735"/>
        <c:axId val="1862555151"/>
      </c:barChart>
      <c:catAx>
        <c:axId val="1526114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55151"/>
        <c:crosses val="autoZero"/>
        <c:auto val="1"/>
        <c:lblAlgn val="ctr"/>
        <c:lblOffset val="100"/>
        <c:noMultiLvlLbl val="0"/>
      </c:catAx>
      <c:valAx>
        <c:axId val="186255515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6114735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Flue gas - membran (GF)'!$L$61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(GF)'!$I$62:$I$76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membran (GF)'!$L$62:$L$76</c:f>
              <c:numCache>
                <c:formatCode>0%</c:formatCode>
                <c:ptCount val="15"/>
                <c:pt idx="0">
                  <c:v>5.7732026986688417E-2</c:v>
                </c:pt>
                <c:pt idx="1">
                  <c:v>1.816471280208936E-2</c:v>
                </c:pt>
                <c:pt idx="2">
                  <c:v>7.5452264340132136E-2</c:v>
                </c:pt>
                <c:pt idx="3">
                  <c:v>7.5427841735446755E-2</c:v>
                </c:pt>
                <c:pt idx="4">
                  <c:v>4.1766084283944592E-2</c:v>
                </c:pt>
                <c:pt idx="5">
                  <c:v>1.6759709841017441E-2</c:v>
                </c:pt>
                <c:pt idx="6">
                  <c:v>3.5195547260234217E-2</c:v>
                </c:pt>
                <c:pt idx="7">
                  <c:v>1.361481342208796E-2</c:v>
                </c:pt>
                <c:pt idx="8">
                  <c:v>8.0197750736720294E-2</c:v>
                </c:pt>
                <c:pt idx="9">
                  <c:v>2.4529444265023792E-2</c:v>
                </c:pt>
                <c:pt idx="10">
                  <c:v>8.8234932668264543E-2</c:v>
                </c:pt>
                <c:pt idx="11">
                  <c:v>4.8934470164278633E-2</c:v>
                </c:pt>
                <c:pt idx="12">
                  <c:v>5.0759897770978023E-2</c:v>
                </c:pt>
                <c:pt idx="13">
                  <c:v>5.8601602991694285E-2</c:v>
                </c:pt>
                <c:pt idx="14">
                  <c:v>3.0060510593381343E-2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7C-4518-ABC8-F6BBCBE6AF9E}"/>
            </c:ext>
          </c:extLst>
        </c:ser>
        <c:ser>
          <c:idx val="1"/>
          <c:order val="1"/>
          <c:tx>
            <c:strRef>
              <c:f>'Results Flue gas - membran (GF)'!$K$61</c:f>
              <c:strCache>
                <c:ptCount val="1"/>
                <c:pt idx="0">
                  <c:v>Biomass cultivation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(GF)'!$I$62:$I$76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membran (GF)'!$K$62:$K$76</c:f>
              <c:numCache>
                <c:formatCode>0%</c:formatCode>
                <c:ptCount val="15"/>
                <c:pt idx="0">
                  <c:v>0.94226797301331155</c:v>
                </c:pt>
                <c:pt idx="1">
                  <c:v>0.98183528719791058</c:v>
                </c:pt>
                <c:pt idx="2">
                  <c:v>0.92454773565986781</c:v>
                </c:pt>
                <c:pt idx="3">
                  <c:v>0.9245721582645533</c:v>
                </c:pt>
                <c:pt idx="4">
                  <c:v>0.95823391571605543</c:v>
                </c:pt>
                <c:pt idx="5">
                  <c:v>0.98324029015898262</c:v>
                </c:pt>
                <c:pt idx="6">
                  <c:v>0.96480445273976578</c:v>
                </c:pt>
                <c:pt idx="7">
                  <c:v>0.98638518657791208</c:v>
                </c:pt>
                <c:pt idx="8">
                  <c:v>0.91980224926327969</c:v>
                </c:pt>
                <c:pt idx="9">
                  <c:v>0.97547055573497621</c:v>
                </c:pt>
                <c:pt idx="10">
                  <c:v>0.91176506733173557</c:v>
                </c:pt>
                <c:pt idx="11">
                  <c:v>0.95106552983572135</c:v>
                </c:pt>
                <c:pt idx="12">
                  <c:v>0.949240102229022</c:v>
                </c:pt>
                <c:pt idx="13">
                  <c:v>0.94139839700830563</c:v>
                </c:pt>
                <c:pt idx="14">
                  <c:v>0.96993948940661878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7C-4518-ABC8-F6BBCBE6AF9E}"/>
            </c:ext>
          </c:extLst>
        </c:ser>
        <c:ser>
          <c:idx val="2"/>
          <c:order val="2"/>
          <c:tx>
            <c:strRef>
              <c:f>'Results Flue gas - membran (GF)'!$M$61</c:f>
              <c:strCache>
                <c:ptCount val="1"/>
                <c:pt idx="0">
                  <c:v>Irrigation water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(GF)'!$I$62:$I$76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membran (GF)'!$M$62:$M$76</c:f>
              <c:numCache>
                <c:formatCode>0%</c:formatCode>
                <c:ptCount val="15"/>
                <c:pt idx="0">
                  <c:v>-4.1119346111449878E-2</c:v>
                </c:pt>
                <c:pt idx="1">
                  <c:v>-1.376471226355686E-2</c:v>
                </c:pt>
                <c:pt idx="2">
                  <c:v>-7.7063471856919669E-2</c:v>
                </c:pt>
                <c:pt idx="3">
                  <c:v>-9.208885607001855E-3</c:v>
                </c:pt>
                <c:pt idx="4">
                  <c:v>-7.5303572870648421E-3</c:v>
                </c:pt>
                <c:pt idx="5">
                  <c:v>-8.288117296814777E-3</c:v>
                </c:pt>
                <c:pt idx="6">
                  <c:v>-1.2371170002056647E-2</c:v>
                </c:pt>
                <c:pt idx="7">
                  <c:v>-4.9377808047949192E-3</c:v>
                </c:pt>
                <c:pt idx="8">
                  <c:v>-3.3463351930245376E-2</c:v>
                </c:pt>
                <c:pt idx="9">
                  <c:v>-1.0616242901618432E-2</c:v>
                </c:pt>
                <c:pt idx="10">
                  <c:v>-3.6078912389202612E-2</c:v>
                </c:pt>
                <c:pt idx="11">
                  <c:v>-3.7864709882189818E-2</c:v>
                </c:pt>
                <c:pt idx="12">
                  <c:v>-2.6200198450658938E-2</c:v>
                </c:pt>
                <c:pt idx="13">
                  <c:v>-1.9488207858377404E-2</c:v>
                </c:pt>
                <c:pt idx="14">
                  <c:v>-1.2966801368669331E-2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7C-4518-ABC8-F6BBCBE6A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6114735"/>
        <c:axId val="1862555151"/>
      </c:barChart>
      <c:catAx>
        <c:axId val="1526114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55151"/>
        <c:crosses val="autoZero"/>
        <c:auto val="1"/>
        <c:lblAlgn val="ctr"/>
        <c:lblOffset val="100"/>
        <c:noMultiLvlLbl val="0"/>
      </c:catAx>
      <c:valAx>
        <c:axId val="186255515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6114735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Flue gas - membran (GF)'!$N$80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membran (GF)'!$N$81:$N$95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7E-4477-8366-209388B385BB}"/>
            </c:ext>
          </c:extLst>
        </c:ser>
        <c:ser>
          <c:idx val="1"/>
          <c:order val="1"/>
          <c:tx>
            <c:strRef>
              <c:f>'Results Flue gas - membran (GF)'!$O$80</c:f>
              <c:strCache>
                <c:ptCount val="1"/>
                <c:pt idx="0">
                  <c:v>Pig manure (transport)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membran (GF)'!$O$81:$O$95</c:f>
              <c:numCache>
                <c:formatCode>0%</c:formatCode>
                <c:ptCount val="15"/>
                <c:pt idx="0">
                  <c:v>0.40705483008208454</c:v>
                </c:pt>
                <c:pt idx="1">
                  <c:v>0.73400251201621114</c:v>
                </c:pt>
                <c:pt idx="2">
                  <c:v>0.50746442930410607</c:v>
                </c:pt>
                <c:pt idx="3">
                  <c:v>0.54213751922233566</c:v>
                </c:pt>
                <c:pt idx="4">
                  <c:v>0.75120844790240304</c:v>
                </c:pt>
                <c:pt idx="5">
                  <c:v>0.84887166104266998</c:v>
                </c:pt>
                <c:pt idx="6">
                  <c:v>0.76747587171306764</c:v>
                </c:pt>
                <c:pt idx="7">
                  <c:v>0.90524527840360181</c:v>
                </c:pt>
                <c:pt idx="8">
                  <c:v>0.48813677681818668</c:v>
                </c:pt>
                <c:pt idx="9">
                  <c:v>0.83590992569532074</c:v>
                </c:pt>
                <c:pt idx="10">
                  <c:v>0.43998973315975703</c:v>
                </c:pt>
                <c:pt idx="11">
                  <c:v>0.62005755182065481</c:v>
                </c:pt>
                <c:pt idx="12">
                  <c:v>0.67626866940188446</c:v>
                </c:pt>
                <c:pt idx="13">
                  <c:v>0.63460410802567979</c:v>
                </c:pt>
                <c:pt idx="14">
                  <c:v>0.69994688499925717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7E-4477-8366-209388B385BB}"/>
            </c:ext>
          </c:extLst>
        </c:ser>
        <c:ser>
          <c:idx val="2"/>
          <c:order val="2"/>
          <c:tx>
            <c:strRef>
              <c:f>'Results Flue gas - membran (GF)'!$P$80</c:f>
              <c:strCache>
                <c:ptCount val="1"/>
                <c:pt idx="0">
                  <c:v>CO2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membran (GF)'!$P$81:$P$95</c:f>
              <c:numCache>
                <c:formatCode>0%</c:formatCode>
                <c:ptCount val="15"/>
                <c:pt idx="0">
                  <c:v>9.3799591279784711E-2</c:v>
                </c:pt>
                <c:pt idx="1">
                  <c:v>2.8321640335030655E-2</c:v>
                </c:pt>
                <c:pt idx="2">
                  <c:v>0.1247710706912848</c:v>
                </c:pt>
                <c:pt idx="3">
                  <c:v>0.12471769372494597</c:v>
                </c:pt>
                <c:pt idx="4">
                  <c:v>6.666974975133827E-2</c:v>
                </c:pt>
                <c:pt idx="5">
                  <c:v>2.6094549178852466E-2</c:v>
                </c:pt>
                <c:pt idx="6">
                  <c:v>5.5679622065457852E-2</c:v>
                </c:pt>
                <c:pt idx="7">
                  <c:v>2.1122389829417377E-2</c:v>
                </c:pt>
                <c:pt idx="8">
                  <c:v>0.13336024360130852</c:v>
                </c:pt>
                <c:pt idx="9">
                  <c:v>3.8499321498901201E-2</c:v>
                </c:pt>
                <c:pt idx="10">
                  <c:v>0.14769608413578697</c:v>
                </c:pt>
                <c:pt idx="11">
                  <c:v>7.8598844596984421E-2</c:v>
                </c:pt>
                <c:pt idx="12">
                  <c:v>8.1699509771672743E-2</c:v>
                </c:pt>
                <c:pt idx="13">
                  <c:v>9.5190616203851969E-2</c:v>
                </c:pt>
                <c:pt idx="14">
                  <c:v>4.7460785934422565E-2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7E-4477-8366-209388B385BB}"/>
            </c:ext>
          </c:extLst>
        </c:ser>
        <c:ser>
          <c:idx val="3"/>
          <c:order val="3"/>
          <c:tx>
            <c:strRef>
              <c:f>'Results Flue gas - membran (GF)'!$Q$80</c:f>
              <c:strCache>
                <c:ptCount val="1"/>
                <c:pt idx="0">
                  <c:v>Water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membran (GF)'!$Q$81:$Q$95</c:f>
              <c:numCache>
                <c:formatCode>0%</c:formatCode>
                <c:ptCount val="15"/>
                <c:pt idx="0">
                  <c:v>0.27585956876192447</c:v>
                </c:pt>
                <c:pt idx="1">
                  <c:v>0.10763623596412547</c:v>
                </c:pt>
                <c:pt idx="2">
                  <c:v>8.7770489016002262E-2</c:v>
                </c:pt>
                <c:pt idx="3">
                  <c:v>6.7797417718491126E-2</c:v>
                </c:pt>
                <c:pt idx="4">
                  <c:v>3.8311630843022554E-2</c:v>
                </c:pt>
                <c:pt idx="5">
                  <c:v>6.3745788393016714E-2</c:v>
                </c:pt>
                <c:pt idx="6">
                  <c:v>5.3021027959748848E-2</c:v>
                </c:pt>
                <c:pt idx="7">
                  <c:v>2.5612606358335295E-2</c:v>
                </c:pt>
                <c:pt idx="8">
                  <c:v>8.0649224465517352E-2</c:v>
                </c:pt>
                <c:pt idx="9">
                  <c:v>4.1598021134874957E-2</c:v>
                </c:pt>
                <c:pt idx="10">
                  <c:v>8.49524327202765E-2</c:v>
                </c:pt>
                <c:pt idx="11">
                  <c:v>0.12558698053805276</c:v>
                </c:pt>
                <c:pt idx="12">
                  <c:v>6.220156721224504E-2</c:v>
                </c:pt>
                <c:pt idx="13">
                  <c:v>6.3213109603809076E-2</c:v>
                </c:pt>
                <c:pt idx="14">
                  <c:v>0.12732793808956641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7E-4477-8366-209388B385BB}"/>
            </c:ext>
          </c:extLst>
        </c:ser>
        <c:ser>
          <c:idx val="4"/>
          <c:order val="4"/>
          <c:tx>
            <c:strRef>
              <c:f>'Results Flue gas - membran (GF)'!$R$80</c:f>
              <c:strCache>
                <c:ptCount val="1"/>
                <c:pt idx="0">
                  <c:v>Thin-layer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membran (GF)'!$R$81:$R$95</c:f>
              <c:numCache>
                <c:formatCode>0%</c:formatCode>
                <c:ptCount val="15"/>
                <c:pt idx="0">
                  <c:v>2.6167679034151622E-2</c:v>
                </c:pt>
                <c:pt idx="1">
                  <c:v>7.05180239485525E-2</c:v>
                </c:pt>
                <c:pt idx="2">
                  <c:v>1.7434615536102649E-2</c:v>
                </c:pt>
                <c:pt idx="3">
                  <c:v>2.8798847149903344E-3</c:v>
                </c:pt>
                <c:pt idx="4">
                  <c:v>3.580682017454798E-3</c:v>
                </c:pt>
                <c:pt idx="5">
                  <c:v>6.4488684231884044E-3</c:v>
                </c:pt>
                <c:pt idx="6">
                  <c:v>6.4599769397417715E-3</c:v>
                </c:pt>
                <c:pt idx="7">
                  <c:v>3.6128940572753001E-3</c:v>
                </c:pt>
                <c:pt idx="8">
                  <c:v>1.7341167471305374E-2</c:v>
                </c:pt>
                <c:pt idx="9">
                  <c:v>3.09093516664817E-3</c:v>
                </c:pt>
                <c:pt idx="10">
                  <c:v>1.6016493872404485E-2</c:v>
                </c:pt>
                <c:pt idx="11">
                  <c:v>1.0221925293253744E-2</c:v>
                </c:pt>
                <c:pt idx="12">
                  <c:v>7.7903084833493546E-3</c:v>
                </c:pt>
                <c:pt idx="13">
                  <c:v>6.7199619541573122E-3</c:v>
                </c:pt>
                <c:pt idx="14">
                  <c:v>2.5554937133981371E-2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7E-4477-8366-209388B385BB}"/>
            </c:ext>
          </c:extLst>
        </c:ser>
        <c:ser>
          <c:idx val="5"/>
          <c:order val="5"/>
          <c:tx>
            <c:strRef>
              <c:f>'Results Flue gas - membran (GF)'!$S$80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Flue gas - membran (GF)'!$S$81:$S$95</c:f>
              <c:numCache>
                <c:formatCode>0%</c:formatCode>
                <c:ptCount val="15"/>
                <c:pt idx="0">
                  <c:v>0.19711833084205452</c:v>
                </c:pt>
                <c:pt idx="1">
                  <c:v>5.9521587736080232E-2</c:v>
                </c:pt>
                <c:pt idx="2">
                  <c:v>0.26255939545250417</c:v>
                </c:pt>
                <c:pt idx="3">
                  <c:v>0.26246748461923697</c:v>
                </c:pt>
                <c:pt idx="4">
                  <c:v>0.1402294894857814</c:v>
                </c:pt>
                <c:pt idx="5">
                  <c:v>5.4839132962272392E-2</c:v>
                </c:pt>
                <c:pt idx="6">
                  <c:v>0.11736350132198385</c:v>
                </c:pt>
                <c:pt idx="7">
                  <c:v>4.440683135137026E-2</c:v>
                </c:pt>
                <c:pt idx="8">
                  <c:v>0.28051258764368214</c:v>
                </c:pt>
                <c:pt idx="9">
                  <c:v>8.0901796504255025E-2</c:v>
                </c:pt>
                <c:pt idx="10">
                  <c:v>0.31134525611177499</c:v>
                </c:pt>
                <c:pt idx="11">
                  <c:v>0.16553469775105417</c:v>
                </c:pt>
                <c:pt idx="12">
                  <c:v>0.1720399451308485</c:v>
                </c:pt>
                <c:pt idx="13">
                  <c:v>0.20027220421250189</c:v>
                </c:pt>
                <c:pt idx="14">
                  <c:v>9.9709453842772397E-2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7E-4477-8366-209388B38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2589263"/>
        <c:axId val="1862564271"/>
      </c:barChart>
      <c:catAx>
        <c:axId val="1422589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64271"/>
        <c:crosses val="autoZero"/>
        <c:auto val="1"/>
        <c:lblAlgn val="ctr"/>
        <c:lblOffset val="100"/>
        <c:noMultiLvlLbl val="0"/>
      </c:catAx>
      <c:valAx>
        <c:axId val="186256427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22589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SimaPro (GF)'!$K$42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(GF)'!$H$43:$H$57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SimaPro (GF)'!$K$43:$K$57</c:f>
              <c:numCache>
                <c:formatCode>0%</c:formatCode>
                <c:ptCount val="15"/>
                <c:pt idx="0">
                  <c:v>1.5269374653500051E-2</c:v>
                </c:pt>
                <c:pt idx="1">
                  <c:v>5.0438985490612763E-3</c:v>
                </c:pt>
                <c:pt idx="2">
                  <c:v>2.1548585280405343E-2</c:v>
                </c:pt>
                <c:pt idx="3">
                  <c:v>2.1182549880522743E-2</c:v>
                </c:pt>
                <c:pt idx="4">
                  <c:v>1.1932747657597349E-2</c:v>
                </c:pt>
                <c:pt idx="5">
                  <c:v>4.7495105128363291E-3</c:v>
                </c:pt>
                <c:pt idx="6">
                  <c:v>9.4829285926359766E-3</c:v>
                </c:pt>
                <c:pt idx="7">
                  <c:v>3.9254859153860424E-3</c:v>
                </c:pt>
                <c:pt idx="8">
                  <c:v>2.229843060921196E-2</c:v>
                </c:pt>
                <c:pt idx="9">
                  <c:v>6.7569366380656809E-3</c:v>
                </c:pt>
                <c:pt idx="10">
                  <c:v>2.3937400518522656E-2</c:v>
                </c:pt>
                <c:pt idx="11">
                  <c:v>9.5571926075741359E-3</c:v>
                </c:pt>
                <c:pt idx="12">
                  <c:v>1.3216060252449945E-2</c:v>
                </c:pt>
                <c:pt idx="13">
                  <c:v>1.5737395491543897E-2</c:v>
                </c:pt>
                <c:pt idx="14">
                  <c:v>3.8783346983252759E-3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53-48C0-93A3-202EE781B32F}"/>
            </c:ext>
          </c:extLst>
        </c:ser>
        <c:ser>
          <c:idx val="1"/>
          <c:order val="1"/>
          <c:tx>
            <c:strRef>
              <c:f>'Results SimaPro (GF)'!$J$42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(GF)'!$H$43:$H$57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SimaPro (GF)'!$J$43:$J$57</c:f>
              <c:numCache>
                <c:formatCode>0%</c:formatCode>
                <c:ptCount val="15"/>
                <c:pt idx="0">
                  <c:v>0.98473062534649991</c:v>
                </c:pt>
                <c:pt idx="1">
                  <c:v>0.99495610145093871</c:v>
                </c:pt>
                <c:pt idx="2">
                  <c:v>0.97845141471959474</c:v>
                </c:pt>
                <c:pt idx="3">
                  <c:v>0.97881745011947729</c:v>
                </c:pt>
                <c:pt idx="4">
                  <c:v>0.98806725234240267</c:v>
                </c:pt>
                <c:pt idx="5">
                  <c:v>0.99525048948716377</c:v>
                </c:pt>
                <c:pt idx="6">
                  <c:v>0.990517071407364</c:v>
                </c:pt>
                <c:pt idx="7">
                  <c:v>0.996074514084614</c:v>
                </c:pt>
                <c:pt idx="8">
                  <c:v>0.97770156939078801</c:v>
                </c:pt>
                <c:pt idx="9">
                  <c:v>0.99324306336193435</c:v>
                </c:pt>
                <c:pt idx="10">
                  <c:v>0.97606259948147733</c:v>
                </c:pt>
                <c:pt idx="11">
                  <c:v>0.99044280739242585</c:v>
                </c:pt>
                <c:pt idx="12">
                  <c:v>0.98678393974755008</c:v>
                </c:pt>
                <c:pt idx="13">
                  <c:v>0.98426260450845604</c:v>
                </c:pt>
                <c:pt idx="14">
                  <c:v>0.99612166530167479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53-48C0-93A3-202EE781B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6114735"/>
        <c:axId val="1862555151"/>
      </c:barChart>
      <c:catAx>
        <c:axId val="1526114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55151"/>
        <c:crosses val="autoZero"/>
        <c:auto val="1"/>
        <c:lblAlgn val="ctr"/>
        <c:lblOffset val="100"/>
        <c:noMultiLvlLbl val="0"/>
      </c:catAx>
      <c:valAx>
        <c:axId val="186255515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6114735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Flue gas - membran (GF)'!$N$102</c:f>
              <c:strCache>
                <c:ptCount val="1"/>
                <c:pt idx="0">
                  <c:v>Biostimulant delivery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(GF)'!$L$103:$L$106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membran (GF)'!$N$103:$N$106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09-45D1-AF6C-89E5C17BB98A}"/>
            </c:ext>
          </c:extLst>
        </c:ser>
        <c:ser>
          <c:idx val="1"/>
          <c:order val="1"/>
          <c:tx>
            <c:strRef>
              <c:f>'Results Flue gas - membran (GF)'!$O$102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(GF)'!$L$103:$L$106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membran (GF)'!$O$103:$O$106</c:f>
              <c:numCache>
                <c:formatCode>0%</c:formatCode>
                <c:ptCount val="4"/>
                <c:pt idx="0">
                  <c:v>0.9578023711086231</c:v>
                </c:pt>
                <c:pt idx="1">
                  <c:v>0.91772124889849316</c:v>
                </c:pt>
                <c:pt idx="2">
                  <c:v>0.9396867710020973</c:v>
                </c:pt>
                <c:pt idx="3">
                  <c:v>0.9407524038699584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09-45D1-AF6C-89E5C17BB98A}"/>
            </c:ext>
          </c:extLst>
        </c:ser>
        <c:ser>
          <c:idx val="2"/>
          <c:order val="2"/>
          <c:tx>
            <c:strRef>
              <c:f>'Results Flue gas - membran (GF)'!$P$102</c:f>
              <c:strCache>
                <c:ptCount val="1"/>
                <c:pt idx="0">
                  <c:v>Final tank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(GF)'!$L$103:$L$106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membran (GF)'!$P$103:$P$106</c:f>
              <c:numCache>
                <c:formatCode>0%</c:formatCode>
                <c:ptCount val="4"/>
                <c:pt idx="0">
                  <c:v>1.0933404424919188E-7</c:v>
                </c:pt>
                <c:pt idx="1">
                  <c:v>2.9430371085365473E-7</c:v>
                </c:pt>
                <c:pt idx="2">
                  <c:v>7.8973675435282648E-11</c:v>
                </c:pt>
                <c:pt idx="3">
                  <c:v>4.2581424596219169E-4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09-45D1-AF6C-89E5C17BB98A}"/>
            </c:ext>
          </c:extLst>
        </c:ser>
        <c:ser>
          <c:idx val="3"/>
          <c:order val="3"/>
          <c:tx>
            <c:strRef>
              <c:f>'Results Flue gas - membran (GF)'!$Q$102</c:f>
              <c:strCache>
                <c:ptCount val="1"/>
                <c:pt idx="0">
                  <c:v>Transport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(GF)'!$L$103:$L$106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membran (GF)'!$Q$103:$Q$106</c:f>
              <c:numCache>
                <c:formatCode>0%</c:formatCode>
                <c:ptCount val="4"/>
                <c:pt idx="0">
                  <c:v>4.2197519557332738E-2</c:v>
                </c:pt>
                <c:pt idx="1">
                  <c:v>8.227845679779594E-2</c:v>
                </c:pt>
                <c:pt idx="2">
                  <c:v>6.0313228918928943E-2</c:v>
                </c:pt>
                <c:pt idx="3">
                  <c:v>5.8821781884079501E-2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09-45D1-AF6C-89E5C17BB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Flue gas - membran (GF)'!$N$110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membran (GF)'!$N$111:$N$114</c:f>
              <c:numCache>
                <c:formatCode>0%</c:formatCode>
                <c:ptCount val="4"/>
                <c:pt idx="0">
                  <c:v>0.72188100232201247</c:v>
                </c:pt>
                <c:pt idx="1">
                  <c:v>0.85146558653905513</c:v>
                </c:pt>
                <c:pt idx="2">
                  <c:v>0.81957029210720544</c:v>
                </c:pt>
                <c:pt idx="3">
                  <c:v>0.86704251543762079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78-4198-A7F0-1461E6B35A58}"/>
            </c:ext>
          </c:extLst>
        </c:ser>
        <c:ser>
          <c:idx val="1"/>
          <c:order val="1"/>
          <c:tx>
            <c:strRef>
              <c:f>'Results Flue gas - membran (GF)'!$O$110</c:f>
              <c:strCache>
                <c:ptCount val="1"/>
                <c:pt idx="0">
                  <c:v>Phosphate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membran (GF)'!$O$111:$O$114</c:f>
              <c:numCache>
                <c:formatCode>0%</c:formatCode>
                <c:ptCount val="4"/>
                <c:pt idx="0">
                  <c:v>0.26992618623786252</c:v>
                </c:pt>
                <c:pt idx="1">
                  <c:v>0.1470285202531984</c:v>
                </c:pt>
                <c:pt idx="2">
                  <c:v>0.14959642836761761</c:v>
                </c:pt>
                <c:pt idx="3">
                  <c:v>0.10322142617075993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78-4198-A7F0-1461E6B35A58}"/>
            </c:ext>
          </c:extLst>
        </c:ser>
        <c:ser>
          <c:idx val="2"/>
          <c:order val="2"/>
          <c:tx>
            <c:strRef>
              <c:f>'Results Flue gas - membran (GF)'!$P$110</c:f>
              <c:strCache>
                <c:ptCount val="1"/>
                <c:pt idx="0">
                  <c:v>Enzyme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membran (GF)'!$P$111:$P$114</c:f>
              <c:numCache>
                <c:formatCode>0%</c:formatCode>
                <c:ptCount val="4"/>
                <c:pt idx="0">
                  <c:v>5.6326961413894405E-4</c:v>
                </c:pt>
                <c:pt idx="1">
                  <c:v>1.9362834141779045E-5</c:v>
                </c:pt>
                <c:pt idx="2">
                  <c:v>6.5636838258224467E-3</c:v>
                </c:pt>
                <c:pt idx="3">
                  <c:v>4.5525203752337495E-3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78-4198-A7F0-1461E6B35A58}"/>
            </c:ext>
          </c:extLst>
        </c:ser>
        <c:ser>
          <c:idx val="3"/>
          <c:order val="3"/>
          <c:tx>
            <c:strRef>
              <c:f>'Results Flue gas - membran (GF)'!$Q$110</c:f>
              <c:strCache>
                <c:ptCount val="1"/>
                <c:pt idx="0">
                  <c:v>Reactor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membran (GF)'!$Q$111:$Q$114</c:f>
              <c:numCache>
                <c:formatCode>0%</c:formatCode>
                <c:ptCount val="4"/>
                <c:pt idx="0">
                  <c:v>1.8992753714197588E-8</c:v>
                </c:pt>
                <c:pt idx="1">
                  <c:v>5.3420256593052527E-8</c:v>
                </c:pt>
                <c:pt idx="2">
                  <c:v>1.4029867999994415E-11</c:v>
                </c:pt>
                <c:pt idx="3">
                  <c:v>7.5609389654044477E-5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78-4198-A7F0-1461E6B35A58}"/>
            </c:ext>
          </c:extLst>
        </c:ser>
        <c:ser>
          <c:idx val="4"/>
          <c:order val="4"/>
          <c:tx>
            <c:strRef>
              <c:f>'Results Flue gas - membran (GF)'!$R$110</c:f>
              <c:strCache>
                <c:ptCount val="1"/>
                <c:pt idx="0">
                  <c:v>Steam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membran (GF)'!$R$111:$R$114</c:f>
              <c:numCache>
                <c:formatCode>0%</c:formatCode>
                <c:ptCount val="4"/>
                <c:pt idx="0">
                  <c:v>2.9965533075387348E-3</c:v>
                </c:pt>
                <c:pt idx="1">
                  <c:v>2.6473088768437991E-4</c:v>
                </c:pt>
                <c:pt idx="2">
                  <c:v>2.06583405583846E-2</c:v>
                </c:pt>
                <c:pt idx="3">
                  <c:v>2.0733333621277054E-2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78-4198-A7F0-1461E6B35A58}"/>
            </c:ext>
          </c:extLst>
        </c:ser>
        <c:ser>
          <c:idx val="5"/>
          <c:order val="5"/>
          <c:tx>
            <c:strRef>
              <c:f>'Results Flue gas - membran (GF)'!$S$110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membran (GF)'!$S$111:$S$114</c:f>
              <c:numCache>
                <c:formatCode>0%</c:formatCode>
                <c:ptCount val="4"/>
                <c:pt idx="0">
                  <c:v>4.6329695256936533E-3</c:v>
                </c:pt>
                <c:pt idx="1">
                  <c:v>1.221746065663727E-3</c:v>
                </c:pt>
                <c:pt idx="2">
                  <c:v>3.6112551269403999E-3</c:v>
                </c:pt>
                <c:pt idx="3">
                  <c:v>4.3745950054544808E-3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78-4198-A7F0-1461E6B35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-0.1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Flue gas - membran (GF)'!$J$118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(GF)'!$H$119:$H$122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membran (GF)'!$J$119:$J$122</c:f>
              <c:numCache>
                <c:formatCode>0%</c:formatCode>
                <c:ptCount val="4"/>
                <c:pt idx="0">
                  <c:v>0.98409421807942432</c:v>
                </c:pt>
                <c:pt idx="1">
                  <c:v>0.99644375887727954</c:v>
                </c:pt>
                <c:pt idx="2">
                  <c:v>0.98907932913748331</c:v>
                </c:pt>
                <c:pt idx="3">
                  <c:v>0.98749525581717978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E3-437E-8EC9-869D0C0ABC38}"/>
            </c:ext>
          </c:extLst>
        </c:ser>
        <c:ser>
          <c:idx val="1"/>
          <c:order val="1"/>
          <c:tx>
            <c:strRef>
              <c:f>'Results Flue gas - membran (GF)'!$K$118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(GF)'!$H$119:$H$122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membran (GF)'!$K$119:$K$122</c:f>
              <c:numCache>
                <c:formatCode>0%</c:formatCode>
                <c:ptCount val="4"/>
                <c:pt idx="0">
                  <c:v>1.59057819205757E-2</c:v>
                </c:pt>
                <c:pt idx="1">
                  <c:v>3.5562411227204722E-3</c:v>
                </c:pt>
                <c:pt idx="2">
                  <c:v>1.0920670862516763E-2</c:v>
                </c:pt>
                <c:pt idx="3">
                  <c:v>1.2504744182820231E-2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E3-437E-8EC9-869D0C0AB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Flue gas - membran (GF)'!$K$126</c:f>
              <c:strCache>
                <c:ptCount val="1"/>
                <c:pt idx="0">
                  <c:v>Biomass cultivation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(GF)'!$I$127:$I$130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membran (GF)'!$K$127:$K$130</c:f>
              <c:numCache>
                <c:formatCode>0%</c:formatCode>
                <c:ptCount val="4"/>
                <c:pt idx="0">
                  <c:v>0.92907751910928071</c:v>
                </c:pt>
                <c:pt idx="1">
                  <c:v>0.98325781598231321</c:v>
                </c:pt>
                <c:pt idx="2">
                  <c:v>0.949240102229022</c:v>
                </c:pt>
                <c:pt idx="3">
                  <c:v>0.94138323922611145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41-4DCC-B711-6178B491C94A}"/>
            </c:ext>
          </c:extLst>
        </c:ser>
        <c:ser>
          <c:idx val="1"/>
          <c:order val="1"/>
          <c:tx>
            <c:strRef>
              <c:f>'Results Flue gas - membran (GF)'!$L$126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(GF)'!$I$127:$I$130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membran (GF)'!$L$127:$L$130</c:f>
              <c:numCache>
                <c:formatCode>0%</c:formatCode>
                <c:ptCount val="4"/>
                <c:pt idx="0">
                  <c:v>7.0922480890719355E-2</c:v>
                </c:pt>
                <c:pt idx="1">
                  <c:v>1.6742184017686738E-2</c:v>
                </c:pt>
                <c:pt idx="2">
                  <c:v>5.0759897770978023E-2</c:v>
                </c:pt>
                <c:pt idx="3">
                  <c:v>5.8616760773888693E-2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41-4DCC-B711-6178B491C94A}"/>
            </c:ext>
          </c:extLst>
        </c:ser>
        <c:ser>
          <c:idx val="2"/>
          <c:order val="2"/>
          <c:tx>
            <c:strRef>
              <c:f>'Results Flue gas - membran (GF)'!$M$126</c:f>
              <c:strCache>
                <c:ptCount val="1"/>
                <c:pt idx="0">
                  <c:v>Irrigation water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(GF)'!$I$127:$I$130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membran (GF)'!$M$127:$M$130</c:f>
              <c:numCache>
                <c:formatCode>0%</c:formatCode>
                <c:ptCount val="4"/>
                <c:pt idx="0">
                  <c:v>-7.050901700303118E-2</c:v>
                </c:pt>
                <c:pt idx="1">
                  <c:v>-6.3330707697952541E-3</c:v>
                </c:pt>
                <c:pt idx="2">
                  <c:v>-2.6200198450658938E-2</c:v>
                </c:pt>
                <c:pt idx="3">
                  <c:v>-1.9496477840172017E-2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41-4DCC-B711-6178B491C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-0.1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Flue gas - membran (GF)'!$O$134</c:f>
              <c:strCache>
                <c:ptCount val="1"/>
                <c:pt idx="0">
                  <c:v>Pig manure (transport)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membran (GF)'!$O$135:$O$138</c:f>
              <c:numCache>
                <c:formatCode>0%</c:formatCode>
                <c:ptCount val="4"/>
                <c:pt idx="0">
                  <c:v>0.51669281918352139</c:v>
                </c:pt>
                <c:pt idx="1">
                  <c:v>0.88645344294283102</c:v>
                </c:pt>
                <c:pt idx="2">
                  <c:v>0.67626866940188446</c:v>
                </c:pt>
                <c:pt idx="3">
                  <c:v>0.63442454105539603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31-4767-9008-8E1F7DC893CA}"/>
            </c:ext>
          </c:extLst>
        </c:ser>
        <c:ser>
          <c:idx val="1"/>
          <c:order val="1"/>
          <c:tx>
            <c:strRef>
              <c:f>'Results Flue gas - membran (GF)'!$P$134</c:f>
              <c:strCache>
                <c:ptCount val="1"/>
                <c:pt idx="0">
                  <c:v>CO2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membran (GF)'!$P$135:$P$138</c:f>
              <c:numCache>
                <c:formatCode>0%</c:formatCode>
                <c:ptCount val="4"/>
                <c:pt idx="0">
                  <c:v>0.11674714706383815</c:v>
                </c:pt>
                <c:pt idx="1">
                  <c:v>2.6030065781671427E-2</c:v>
                </c:pt>
                <c:pt idx="2">
                  <c:v>8.1699509771672743E-2</c:v>
                </c:pt>
                <c:pt idx="3">
                  <c:v>9.5163681158309407E-2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31-4767-9008-8E1F7DC893CA}"/>
            </c:ext>
          </c:extLst>
        </c:ser>
        <c:ser>
          <c:idx val="2"/>
          <c:order val="2"/>
          <c:tx>
            <c:strRef>
              <c:f>'Results Flue gas - membran (GF)'!$Q$134</c:f>
              <c:strCache>
                <c:ptCount val="1"/>
                <c:pt idx="0">
                  <c:v>Water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membran (GF)'!$Q$135:$Q$138</c:f>
              <c:numCache>
                <c:formatCode>0%</c:formatCode>
                <c:ptCount val="4"/>
                <c:pt idx="0">
                  <c:v>9.9500934844110767E-2</c:v>
                </c:pt>
                <c:pt idx="1">
                  <c:v>2.8724288866369373E-2</c:v>
                </c:pt>
                <c:pt idx="2">
                  <c:v>6.220156721224504E-2</c:v>
                </c:pt>
                <c:pt idx="3">
                  <c:v>6.3337858273889394E-2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31-4767-9008-8E1F7DC893CA}"/>
            </c:ext>
          </c:extLst>
        </c:ser>
        <c:ser>
          <c:idx val="3"/>
          <c:order val="3"/>
          <c:tx>
            <c:strRef>
              <c:f>'Results Flue gas - membran (GF)'!$R$134</c:f>
              <c:strCache>
                <c:ptCount val="1"/>
                <c:pt idx="0">
                  <c:v>Thin-layer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membran (GF)'!$R$135:$R$138</c:f>
              <c:numCache>
                <c:formatCode>0%</c:formatCode>
                <c:ptCount val="4"/>
                <c:pt idx="0">
                  <c:v>2.1456622944282137E-2</c:v>
                </c:pt>
                <c:pt idx="1">
                  <c:v>4.0112805456664407E-3</c:v>
                </c:pt>
                <c:pt idx="2">
                  <c:v>7.7903084833493546E-3</c:v>
                </c:pt>
                <c:pt idx="3">
                  <c:v>6.7466876589383626E-3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31-4767-9008-8E1F7DC893CA}"/>
            </c:ext>
          </c:extLst>
        </c:ser>
        <c:ser>
          <c:idx val="4"/>
          <c:order val="4"/>
          <c:tx>
            <c:strRef>
              <c:f>'Results Flue gas - membran (GF)'!$S$134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Flue gas - membran (GF)'!$S$135:$S$138</c:f>
              <c:numCache>
                <c:formatCode>0%</c:formatCode>
                <c:ptCount val="4"/>
                <c:pt idx="0">
                  <c:v>0.24560247596424764</c:v>
                </c:pt>
                <c:pt idx="1">
                  <c:v>5.4780921863461708E-2</c:v>
                </c:pt>
                <c:pt idx="2">
                  <c:v>0.1720399451308485</c:v>
                </c:pt>
                <c:pt idx="3">
                  <c:v>0.20032723185346685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31-4767-9008-8E1F7DC89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Flue gas - membran (GF)'!$AF$4</c:f>
              <c:strCache>
                <c:ptCount val="1"/>
                <c:pt idx="0">
                  <c:v>Biostimulant delivery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Flue gas - membran (GF)'!$AF$7,'Results Flue gas - membran (GF)'!$AF$10,'Results Flue gas - membran (GF)'!$AF$13,'Results Flue gas - membran (GF)'!$AF$16)</c:f>
              <c:numCache>
                <c:formatCode>0.00%</c:formatCode>
                <c:ptCount val="4"/>
                <c:pt idx="0">
                  <c:v>5.9869875665080771E-2</c:v>
                </c:pt>
                <c:pt idx="1">
                  <c:v>4.062823172060296E-2</c:v>
                </c:pt>
                <c:pt idx="2">
                  <c:v>8.1931858508996883E-2</c:v>
                </c:pt>
                <c:pt idx="3">
                  <c:v>6.0107388329440729E-2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8E-455A-A9F5-D33411394555}"/>
            </c:ext>
          </c:extLst>
        </c:ser>
        <c:ser>
          <c:idx val="1"/>
          <c:order val="1"/>
          <c:tx>
            <c:strRef>
              <c:f>'Results Flue gas - membran (GF)'!$AG$4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Flue gas - membran (GF)'!$AG$7,'Results Flue gas - membran (GF)'!$AG$10,'Results Flue gas - membran (GF)'!$AG$13,'Results Flue gas - membran (GF)'!$AG$16)</c:f>
              <c:numCache>
                <c:formatCode>0.00%</c:formatCode>
                <c:ptCount val="4"/>
                <c:pt idx="0">
                  <c:v>0.16962740371496615</c:v>
                </c:pt>
                <c:pt idx="1">
                  <c:v>0.26681951459442438</c:v>
                </c:pt>
                <c:pt idx="2">
                  <c:v>0.13636471291354596</c:v>
                </c:pt>
                <c:pt idx="3">
                  <c:v>0.12496575740648257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8E-455A-A9F5-D33411394555}"/>
            </c:ext>
          </c:extLst>
        </c:ser>
        <c:ser>
          <c:idx val="2"/>
          <c:order val="2"/>
          <c:tx>
            <c:strRef>
              <c:f>'Results Flue gas - membran (GF)'!$AH$4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Flue gas - membran (GF)'!$AH$7,'Results Flue gas - membran (GF)'!$AH$10,'Results Flue gas - membran (GF)'!$AH$13,'Results Flue gas - membran (GF)'!$AH$16)</c:f>
              <c:numCache>
                <c:formatCode>0.00%</c:formatCode>
                <c:ptCount val="4"/>
                <c:pt idx="0">
                  <c:v>8.4144066105641662E-3</c:v>
                </c:pt>
                <c:pt idx="1">
                  <c:v>1.1015585115716361E-2</c:v>
                </c:pt>
                <c:pt idx="2">
                  <c:v>2.7799258784787333E-3</c:v>
                </c:pt>
                <c:pt idx="3">
                  <c:v>1.0190451840282637E-2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8E-455A-A9F5-D33411394555}"/>
            </c:ext>
          </c:extLst>
        </c:ser>
        <c:ser>
          <c:idx val="3"/>
          <c:order val="3"/>
          <c:tx>
            <c:strRef>
              <c:f>'Results Flue gas - membran (GF)'!$AI$4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Flue gas - membran (GF)'!$AI$7,'Results Flue gas - membran (GF)'!$AI$10,'Results Flue gas - membran (GF)'!$AI$13,'Results Flue gas - membran (GF)'!$AI$16)</c:f>
              <c:numCache>
                <c:formatCode>0.00%</c:formatCode>
                <c:ptCount val="4"/>
                <c:pt idx="0">
                  <c:v>1.9220233787089369E-2</c:v>
                </c:pt>
                <c:pt idx="1">
                  <c:v>3.0316679316249955E-4</c:v>
                </c:pt>
                <c:pt idx="2">
                  <c:v>8.159578136830159E-3</c:v>
                </c:pt>
                <c:pt idx="3">
                  <c:v>3.2107498890502115E-2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8E-455A-A9F5-D33411394555}"/>
            </c:ext>
          </c:extLst>
        </c:ser>
        <c:ser>
          <c:idx val="4"/>
          <c:order val="4"/>
          <c:tx>
            <c:strRef>
              <c:f>'Results Flue gas - membran (GF)'!$AJ$4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Flue gas - membran (GF)'!$AJ$7,'Results Flue gas - membran (GF)'!$AJ$10,'Results Flue gas - membran (GF)'!$AJ$13,'Results Flue gas - membran (GF)'!$AJ$16)</c:f>
              <c:numCache>
                <c:formatCode>0.00%</c:formatCode>
                <c:ptCount val="4"/>
                <c:pt idx="0">
                  <c:v>0.74286808022229955</c:v>
                </c:pt>
                <c:pt idx="1">
                  <c:v>0.68123350177609376</c:v>
                </c:pt>
                <c:pt idx="2">
                  <c:v>0.77076392456214826</c:v>
                </c:pt>
                <c:pt idx="3">
                  <c:v>0.77262890353329194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8E-455A-A9F5-D33411394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5537487"/>
        <c:axId val="1664588207"/>
      </c:barChart>
      <c:catAx>
        <c:axId val="83553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4588207"/>
        <c:crosses val="autoZero"/>
        <c:auto val="1"/>
        <c:lblAlgn val="ctr"/>
        <c:lblOffset val="100"/>
        <c:noMultiLvlLbl val="0"/>
      </c:catAx>
      <c:valAx>
        <c:axId val="16645882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553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Flue gas - membran (GF)'!$AN$4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Flue gas - membran (GF)'!$AN$7,'Results Flue gas - membran (GF)'!$AN$10,'Results Flue gas - membran (GF)'!$AN$13,'Results Flue gas - membran (GF)'!$AN$16)</c:f>
              <c:numCache>
                <c:formatCode>0.0%</c:formatCode>
                <c:ptCount val="4"/>
                <c:pt idx="0">
                  <c:v>0.18042970789279458</c:v>
                </c:pt>
                <c:pt idx="1">
                  <c:v>0.27811899767798753</c:v>
                </c:pt>
                <c:pt idx="2">
                  <c:v>0.14853441346094487</c:v>
                </c:pt>
                <c:pt idx="3">
                  <c:v>0.13295748456237916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50-406C-893C-3DF2E4C1433B}"/>
            </c:ext>
          </c:extLst>
        </c:ser>
        <c:ser>
          <c:idx val="1"/>
          <c:order val="1"/>
          <c:tx>
            <c:strRef>
              <c:f>'Results Flue gas - membran (GF)'!$AO$4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Flue gas - membran (GF)'!$AO$7,'Results Flue gas - membran (GF)'!$AO$10,'Results Flue gas - membran (GF)'!$AO$13,'Results Flue gas - membran (GF)'!$AO$16)</c:f>
              <c:numCache>
                <c:formatCode>0.0%</c:formatCode>
                <c:ptCount val="4"/>
                <c:pt idx="0">
                  <c:v>8.9502574087994696E-3</c:v>
                </c:pt>
                <c:pt idx="1">
                  <c:v>1.148208179554051E-2</c:v>
                </c:pt>
                <c:pt idx="2">
                  <c:v>3.0280169334315188E-3</c:v>
                </c:pt>
                <c:pt idx="3">
                  <c:v>1.0842144851176353E-2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50-406C-893C-3DF2E4C1433B}"/>
            </c:ext>
          </c:extLst>
        </c:ser>
        <c:ser>
          <c:idx val="2"/>
          <c:order val="2"/>
          <c:tx>
            <c:strRef>
              <c:f>'Results Flue gas - membran (GF)'!$AP$4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Flue gas - membran (GF)'!$AP$7,'Results Flue gas - membran (GF)'!$AP$10,'Results Flue gas - membran (GF)'!$AP$13,'Results Flue gas - membran (GF)'!$AP$16)</c:f>
              <c:numCache>
                <c:formatCode>0.0%</c:formatCode>
                <c:ptCount val="4"/>
                <c:pt idx="0">
                  <c:v>2.044422712301279E-2</c:v>
                </c:pt>
                <c:pt idx="1">
                  <c:v>3.160055394440405E-4</c:v>
                </c:pt>
                <c:pt idx="2">
                  <c:v>8.8877696197784233E-3</c:v>
                </c:pt>
                <c:pt idx="3">
                  <c:v>3.4160816344150698E-2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50-406C-893C-3DF2E4C1433B}"/>
            </c:ext>
          </c:extLst>
        </c:ser>
        <c:ser>
          <c:idx val="3"/>
          <c:order val="3"/>
          <c:tx>
            <c:strRef>
              <c:f>'Results Flue gas - membran (GF)'!$AQ$4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Flue gas - membran (GF)'!$AQ$7,'Results Flue gas - membran (GF)'!$AQ$10,'Results Flue gas - membran (GF)'!$AQ$13,'Results Flue gas - membran (GF)'!$AQ$16)</c:f>
              <c:numCache>
                <c:formatCode>0.0%</c:formatCode>
                <c:ptCount val="4"/>
                <c:pt idx="0">
                  <c:v>0.79017580757539319</c:v>
                </c:pt>
                <c:pt idx="1">
                  <c:v>0.71008291498702791</c:v>
                </c:pt>
                <c:pt idx="2">
                  <c:v>0.83954979998584522</c:v>
                </c:pt>
                <c:pt idx="3">
                  <c:v>0.8220395542422938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50-406C-893C-3DF2E4C14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5537487"/>
        <c:axId val="1664588207"/>
      </c:barChart>
      <c:catAx>
        <c:axId val="83553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4588207"/>
        <c:crosses val="autoZero"/>
        <c:auto val="1"/>
        <c:lblAlgn val="ctr"/>
        <c:lblOffset val="100"/>
        <c:noMultiLvlLbl val="0"/>
      </c:catAx>
      <c:valAx>
        <c:axId val="16645882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553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Flue gas - membran (GF)'!$AN$35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(GF)'!$B$62:$B$76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Flue gas - membran (GF)'!$AN$38,'Results Flue gas - membran (GF)'!$AN$41,'Results Flue gas - membran (GF)'!$AN$44,'Results Flue gas - membran (GF)'!$AN$47,'Results Flue gas - membran (GF)'!$AN$50,'Results Flue gas - membran (GF)'!$AN$53,'Results Flue gas - membran (GF)'!$AN$56,'Results Flue gas - membran (GF)'!$AN$59,'Results Flue gas - membran (GF)'!$AN$62,'Results Flue gas - membran (GF)'!$AN$65,'Results Flue gas - membran (GF)'!$AN$68,'Results Flue gas - membran (GF)'!$AN$71,'Results Flue gas - membran (GF)'!$AN$74,'Results Flue gas - membran (GF)'!$AN$77,'Results Flue gas - membran (GF)'!$AN$80)</c:f>
              <c:numCache>
                <c:formatCode>0.0%</c:formatCode>
                <c:ptCount val="15"/>
                <c:pt idx="0">
                  <c:v>0.20416493536461144</c:v>
                </c:pt>
                <c:pt idx="1">
                  <c:v>0.47929562405006676</c:v>
                </c:pt>
                <c:pt idx="2">
                  <c:v>0.26168601054353974</c:v>
                </c:pt>
                <c:pt idx="3">
                  <c:v>4.9298009493734869E-2</c:v>
                </c:pt>
                <c:pt idx="4">
                  <c:v>9.8124326753010568E-2</c:v>
                </c:pt>
                <c:pt idx="5">
                  <c:v>0.12936934185731874</c:v>
                </c:pt>
                <c:pt idx="6">
                  <c:v>0.17236831718397039</c:v>
                </c:pt>
                <c:pt idx="7">
                  <c:v>9.6993109163095531E-2</c:v>
                </c:pt>
                <c:pt idx="8">
                  <c:v>0.26012474052436407</c:v>
                </c:pt>
                <c:pt idx="9">
                  <c:v>0.47127987367017043</c:v>
                </c:pt>
                <c:pt idx="10">
                  <c:v>0.29605785266833373</c:v>
                </c:pt>
                <c:pt idx="11">
                  <c:v>0.71159698553183059</c:v>
                </c:pt>
                <c:pt idx="12">
                  <c:v>0.18042970789279458</c:v>
                </c:pt>
                <c:pt idx="13">
                  <c:v>0.13209859530260532</c:v>
                </c:pt>
                <c:pt idx="14">
                  <c:v>0.52162503796779947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83-43BD-9557-074C117F52B6}"/>
            </c:ext>
          </c:extLst>
        </c:ser>
        <c:ser>
          <c:idx val="1"/>
          <c:order val="1"/>
          <c:tx>
            <c:strRef>
              <c:f>'Results Flue gas - membran (GF)'!$AO$35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(GF)'!$B$62:$B$76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Flue gas - membran (GF)'!$AO$38,'Results Flue gas - membran (GF)'!$AO$41,'Results Flue gas - membran (GF)'!$AO$44,'Results Flue gas - membran (GF)'!$AO$47,'Results Flue gas - membran (GF)'!$AO$50,'Results Flue gas - membran (GF)'!$AO$53,'Results Flue gas - membran (GF)'!$AO$56,'Results Flue gas - membran (GF)'!$AO$59,'Results Flue gas - membran (GF)'!$AO$62,'Results Flue gas - membran (GF)'!$AO$65,'Results Flue gas - membran (GF)'!$AO$68,'Results Flue gas - membran (GF)'!$AO$71,'Results Flue gas - membran (GF)'!$AO$74,'Results Flue gas - membran (GF)'!$AO$77,'Results Flue gas - membran (GF)'!$AO$80)</c:f>
              <c:numCache>
                <c:formatCode>0.0%</c:formatCode>
                <c:ptCount val="15"/>
                <c:pt idx="0">
                  <c:v>1.0021641020406124E-2</c:v>
                </c:pt>
                <c:pt idx="1">
                  <c:v>2.0235560189544536E-3</c:v>
                </c:pt>
                <c:pt idx="2">
                  <c:v>1.2567598408832639E-2</c:v>
                </c:pt>
                <c:pt idx="3">
                  <c:v>1.5087375943462454E-2</c:v>
                </c:pt>
                <c:pt idx="4">
                  <c:v>7.9683825343573912E-3</c:v>
                </c:pt>
                <c:pt idx="5">
                  <c:v>3.1054664738277989E-3</c:v>
                </c:pt>
                <c:pt idx="6">
                  <c:v>6.200578956570918E-3</c:v>
                </c:pt>
                <c:pt idx="7">
                  <c:v>2.6095330637170536E-3</c:v>
                </c:pt>
                <c:pt idx="8">
                  <c:v>1.2779175643610415E-2</c:v>
                </c:pt>
                <c:pt idx="9">
                  <c:v>2.7621107693250766E-3</c:v>
                </c:pt>
                <c:pt idx="10">
                  <c:v>1.3389459238696142E-2</c:v>
                </c:pt>
                <c:pt idx="11">
                  <c:v>3.0739510391269618E-3</c:v>
                </c:pt>
                <c:pt idx="12">
                  <c:v>8.9502574087994696E-3</c:v>
                </c:pt>
                <c:pt idx="13">
                  <c:v>1.0850023281078841E-2</c:v>
                </c:pt>
                <c:pt idx="14">
                  <c:v>3.0662496137694719E-3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83-43BD-9557-074C117F52B6}"/>
            </c:ext>
          </c:extLst>
        </c:ser>
        <c:ser>
          <c:idx val="2"/>
          <c:order val="2"/>
          <c:tx>
            <c:strRef>
              <c:f>'Results Flue gas - membran (GF)'!$AP$35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(GF)'!$B$62:$B$76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Flue gas - membran (GF)'!$AP$38,'Results Flue gas - membran (GF)'!$AP$41,'Results Flue gas - membran (GF)'!$AP$44,'Results Flue gas - membran (GF)'!$AP$47,'Results Flue gas - membran (GF)'!$AP$50,'Results Flue gas - membran (GF)'!$AP$53,'Results Flue gas - membran (GF)'!$AP$56,'Results Flue gas - membran (GF)'!$AP$59,'Results Flue gas - membran (GF)'!$AP$62,'Results Flue gas - membran (GF)'!$AP$65,'Results Flue gas - membran (GF)'!$AP$68,'Results Flue gas - membran (GF)'!$AP$71,'Results Flue gas - membran (GF)'!$AP$74,'Results Flue gas - membran (GF)'!$AP$77,'Results Flue gas - membran (GF)'!$AP$80)</c:f>
              <c:numCache>
                <c:formatCode>0.0%</c:formatCode>
                <c:ptCount val="15"/>
                <c:pt idx="0">
                  <c:v>1.3614277836407025E-2</c:v>
                </c:pt>
                <c:pt idx="1">
                  <c:v>2.3140480931896734E-3</c:v>
                </c:pt>
                <c:pt idx="2">
                  <c:v>-1.2669647422991967E-3</c:v>
                </c:pt>
                <c:pt idx="3">
                  <c:v>6.2531266393948834E-2</c:v>
                </c:pt>
                <c:pt idx="4">
                  <c:v>3.0835770333188864E-2</c:v>
                </c:pt>
                <c:pt idx="5">
                  <c:v>7.4107410366176761E-3</c:v>
                </c:pt>
                <c:pt idx="6">
                  <c:v>1.8983501530760862E-2</c:v>
                </c:pt>
                <c:pt idx="7">
                  <c:v>7.8515464573072243E-3</c:v>
                </c:pt>
                <c:pt idx="8">
                  <c:v>3.5156864895183597E-2</c:v>
                </c:pt>
                <c:pt idx="9">
                  <c:v>7.3962804894347443E-3</c:v>
                </c:pt>
                <c:pt idx="10">
                  <c:v>3.7364552417054303E-2</c:v>
                </c:pt>
                <c:pt idx="11">
                  <c:v>3.2828276502420367E-3</c:v>
                </c:pt>
                <c:pt idx="12">
                  <c:v>2.044422712301279E-2</c:v>
                </c:pt>
                <c:pt idx="13">
                  <c:v>3.4188461168501348E-2</c:v>
                </c:pt>
                <c:pt idx="14">
                  <c:v>8.2315254778857396E-3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83-43BD-9557-074C117F52B6}"/>
            </c:ext>
          </c:extLst>
        </c:ser>
        <c:ser>
          <c:idx val="3"/>
          <c:order val="3"/>
          <c:tx>
            <c:strRef>
              <c:f>'Results Flue gas - membran (GF)'!$AQ$35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(GF)'!$B$62:$B$76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Flue gas - membran (GF)'!$AQ$38,'Results Flue gas - membran (GF)'!$AQ$41,'Results Flue gas - membran (GF)'!$AQ$44,'Results Flue gas - membran (GF)'!$AQ$47,'Results Flue gas - membran (GF)'!$AQ$50,'Results Flue gas - membran (GF)'!$AQ$53,'Results Flue gas - membran (GF)'!$AQ$56,'Results Flue gas - membran (GF)'!$AQ$59,'Results Flue gas - membran (GF)'!$AQ$62,'Results Flue gas - membran (GF)'!$AQ$65,'Results Flue gas - membran (GF)'!$AQ$68,'Results Flue gas - membran (GF)'!$AQ$71,'Results Flue gas - membran (GF)'!$AQ$74,'Results Flue gas - membran (GF)'!$AQ$77,'Results Flue gas - membran (GF)'!$AQ$80)</c:f>
              <c:numCache>
                <c:formatCode>0.0%</c:formatCode>
                <c:ptCount val="15"/>
                <c:pt idx="0">
                  <c:v>0.7721991457785754</c:v>
                </c:pt>
                <c:pt idx="1">
                  <c:v>0.51636677183778912</c:v>
                </c:pt>
                <c:pt idx="2">
                  <c:v>0.72701335578992676</c:v>
                </c:pt>
                <c:pt idx="3">
                  <c:v>0.8730833481688538</c:v>
                </c:pt>
                <c:pt idx="4">
                  <c:v>0.86307152037944312</c:v>
                </c:pt>
                <c:pt idx="5">
                  <c:v>0.86011445063223579</c:v>
                </c:pt>
                <c:pt idx="6">
                  <c:v>0.80244760232869783</c:v>
                </c:pt>
                <c:pt idx="7">
                  <c:v>0.89254581131588018</c:v>
                </c:pt>
                <c:pt idx="8">
                  <c:v>0.69193921893684196</c:v>
                </c:pt>
                <c:pt idx="9">
                  <c:v>0.51856173507106973</c:v>
                </c:pt>
                <c:pt idx="10">
                  <c:v>0.65318813567591583</c:v>
                </c:pt>
                <c:pt idx="11">
                  <c:v>0.28204623577880039</c:v>
                </c:pt>
                <c:pt idx="12">
                  <c:v>0.79017580757539319</c:v>
                </c:pt>
                <c:pt idx="13">
                  <c:v>0.82286292024781449</c:v>
                </c:pt>
                <c:pt idx="14">
                  <c:v>0.46707718694054534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83-43BD-9557-074C117F5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5537487"/>
        <c:axId val="1664588207"/>
      </c:barChart>
      <c:catAx>
        <c:axId val="83553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4588207"/>
        <c:crosses val="autoZero"/>
        <c:auto val="1"/>
        <c:lblAlgn val="ctr"/>
        <c:lblOffset val="100"/>
        <c:noMultiLvlLbl val="0"/>
      </c:catAx>
      <c:valAx>
        <c:axId val="16645882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553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Flue gas - membran (GF)'!$AF$35</c:f>
              <c:strCache>
                <c:ptCount val="1"/>
                <c:pt idx="0">
                  <c:v>Biostimulant delivery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(GF)'!$B$81:$B$95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Flue gas - membran (GF)'!$AF$38,'Results Flue gas - membran (GF)'!$AF$41,'Results Flue gas - membran (GF)'!$AF$44,'Results Flue gas - membran (GF)'!$AF$47,'Results Flue gas - membran (GF)'!$AF$50,'Results Flue gas - membran (GF)'!$AF$53,'Results Flue gas - membran (GF)'!$AF$56,'Results Flue gas - membran (GF)'!$AF$59,'Results Flue gas - membran (GF)'!$AF$62,'Results Flue gas - membran (GF)'!$AF$65,'Results Flue gas - membran (GF)'!$AF$68,'Results Flue gas - membran (GF)'!$AF$71,'Results Flue gas - membran (GF)'!$AF$74,'Results Flue gas - membran (GF)'!$AF$77,'Results Flue gas - membran (GF)'!$AF$80)</c:f>
              <c:numCache>
                <c:formatCode>0.0%</c:formatCode>
                <c:ptCount val="15"/>
                <c:pt idx="0">
                  <c:v>3.4807228505689597E-2</c:v>
                </c:pt>
                <c:pt idx="1">
                  <c:v>4.4775407370397383E-2</c:v>
                </c:pt>
                <c:pt idx="2">
                  <c:v>4.0716855446531273E-2</c:v>
                </c:pt>
                <c:pt idx="3">
                  <c:v>-0.40482419055728691</c:v>
                </c:pt>
                <c:pt idx="4">
                  <c:v>7.2008820294212419E-2</c:v>
                </c:pt>
                <c:pt idx="5">
                  <c:v>8.026492279615409E-2</c:v>
                </c:pt>
                <c:pt idx="6">
                  <c:v>7.0836923970555327E-2</c:v>
                </c:pt>
                <c:pt idx="7">
                  <c:v>8.8520363955295556E-2</c:v>
                </c:pt>
                <c:pt idx="8">
                  <c:v>3.9514329051734888E-2</c:v>
                </c:pt>
                <c:pt idx="9">
                  <c:v>4.6087149554666668E-2</c:v>
                </c:pt>
                <c:pt idx="10">
                  <c:v>3.2106879882354153E-2</c:v>
                </c:pt>
                <c:pt idx="11">
                  <c:v>1.9222210229993819E-2</c:v>
                </c:pt>
                <c:pt idx="12">
                  <c:v>5.9869875665080771E-2</c:v>
                </c:pt>
                <c:pt idx="13">
                  <c:v>5.9241660608753625E-2</c:v>
                </c:pt>
                <c:pt idx="14">
                  <c:v>4.9832229146571962E-2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9F-4CFD-A0C8-7F00A671ECEF}"/>
            </c:ext>
          </c:extLst>
        </c:ser>
        <c:ser>
          <c:idx val="1"/>
          <c:order val="1"/>
          <c:tx>
            <c:strRef>
              <c:f>'Results Flue gas - membran (GF)'!$AG$35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(GF)'!$B$81:$B$95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Flue gas - membran (GF)'!$AG$38,'Results Flue gas - membran (GF)'!$AG$41,'Results Flue gas - membran (GF)'!$AG$44,'Results Flue gas - membran (GF)'!$AG$47,'Results Flue gas - membran (GF)'!$AG$50,'Results Flue gas - membran (GF)'!$AG$53,'Results Flue gas - membran (GF)'!$AG$56,'Results Flue gas - membran (GF)'!$AG$59,'Results Flue gas - membran (GF)'!$AG$62,'Results Flue gas - membran (GF)'!$AG$65,'Results Flue gas - membran (GF)'!$AG$68,'Results Flue gas - membran (GF)'!$AG$71,'Results Flue gas - membran (GF)'!$AG$74,'Results Flue gas - membran (GF)'!$AG$77,'Results Flue gas - membran (GF)'!$AG$80)</c:f>
              <c:numCache>
                <c:formatCode>0.0%</c:formatCode>
                <c:ptCount val="15"/>
                <c:pt idx="0">
                  <c:v>0.19705851980652606</c:v>
                </c:pt>
                <c:pt idx="1">
                  <c:v>0.45783496723237621</c:v>
                </c:pt>
                <c:pt idx="2">
                  <c:v>0.25103097907985905</c:v>
                </c:pt>
                <c:pt idx="3">
                  <c:v>6.9255036283121574E-2</c:v>
                </c:pt>
                <c:pt idx="4">
                  <c:v>9.105850974136255E-2</c:v>
                </c:pt>
                <c:pt idx="5">
                  <c:v>0.11898552162095176</c:v>
                </c:pt>
                <c:pt idx="6">
                  <c:v>0.16015827580467701</c:v>
                </c:pt>
                <c:pt idx="7">
                  <c:v>8.8407243838822619E-2</c:v>
                </c:pt>
                <c:pt idx="8">
                  <c:v>0.24984608593278718</c:v>
                </c:pt>
                <c:pt idx="9">
                  <c:v>0.44955992765022884</c:v>
                </c:pt>
                <c:pt idx="10">
                  <c:v>0.28655235875448382</c:v>
                </c:pt>
                <c:pt idx="11">
                  <c:v>0.6979185186769078</c:v>
                </c:pt>
                <c:pt idx="12">
                  <c:v>0.16962740371496615</c:v>
                </c:pt>
                <c:pt idx="13">
                  <c:v>0.12427285515279533</c:v>
                </c:pt>
                <c:pt idx="14">
                  <c:v>0.49563129954719876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9F-4CFD-A0C8-7F00A671ECEF}"/>
            </c:ext>
          </c:extLst>
        </c:ser>
        <c:ser>
          <c:idx val="2"/>
          <c:order val="2"/>
          <c:tx>
            <c:strRef>
              <c:f>'Results Flue gas - membran (GF)'!$AH$35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(GF)'!$B$81:$B$95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Flue gas - membran (GF)'!$AH$38,'Results Flue gas - membran (GF)'!$AH$41,'Results Flue gas - membran (GF)'!$AH$44,'Results Flue gas - membran (GF)'!$AH$47,'Results Flue gas - membran (GF)'!$AH$50,'Results Flue gas - membran (GF)'!$AH$53,'Results Flue gas - membran (GF)'!$AH$56,'Results Flue gas - membran (GF)'!$AH$59,'Results Flue gas - membran (GF)'!$AH$62,'Results Flue gas - membran (GF)'!$AH$65,'Results Flue gas - membran (GF)'!$AH$68,'Results Flue gas - membran (GF)'!$AH$71,'Results Flue gas - membran (GF)'!$AH$74,'Results Flue gas - membran (GF)'!$AH$77,'Results Flue gas - membran (GF)'!$AH$80)</c:f>
              <c:numCache>
                <c:formatCode>0.0%</c:formatCode>
                <c:ptCount val="15"/>
                <c:pt idx="0">
                  <c:v>9.6728154714069217E-3</c:v>
                </c:pt>
                <c:pt idx="1">
                  <c:v>1.9329504738689095E-3</c:v>
                </c:pt>
                <c:pt idx="2">
                  <c:v>1.2055885321110066E-2</c:v>
                </c:pt>
                <c:pt idx="3">
                  <c:v>2.119511069740812E-2</c:v>
                </c:pt>
                <c:pt idx="4">
                  <c:v>7.3945887084053055E-3</c:v>
                </c:pt>
                <c:pt idx="5">
                  <c:v>2.8562064470599416E-3</c:v>
                </c:pt>
                <c:pt idx="6">
                  <c:v>5.761349016450831E-3</c:v>
                </c:pt>
                <c:pt idx="7">
                  <c:v>2.3785362471634959E-3</c:v>
                </c:pt>
                <c:pt idx="8">
                  <c:v>1.2274215092218875E-2</c:v>
                </c:pt>
                <c:pt idx="9">
                  <c:v>2.6348129572126774E-3</c:v>
                </c:pt>
                <c:pt idx="10">
                  <c:v>1.2959565479229629E-2</c:v>
                </c:pt>
                <c:pt idx="11">
                  <c:v>3.0148629060161468E-3</c:v>
                </c:pt>
                <c:pt idx="12">
                  <c:v>8.4144066105641662E-3</c:v>
                </c:pt>
                <c:pt idx="13">
                  <c:v>1.0207249884264115E-2</c:v>
                </c:pt>
                <c:pt idx="14">
                  <c:v>2.9134515603955347E-3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9F-4CFD-A0C8-7F00A671ECEF}"/>
            </c:ext>
          </c:extLst>
        </c:ser>
        <c:ser>
          <c:idx val="3"/>
          <c:order val="3"/>
          <c:tx>
            <c:strRef>
              <c:f>'Results Flue gas - membran (GF)'!$AI$35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(GF)'!$B$81:$B$95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Flue gas - membran (GF)'!$AI$38,'Results Flue gas - membran (GF)'!$AI$41,'Results Flue gas - membran (GF)'!$AI$44,'Results Flue gas - membran (GF)'!$AI$47,'Results Flue gas - membran (GF)'!$AI$50,'Results Flue gas - membran (GF)'!$AI$53,'Results Flue gas - membran (GF)'!$AI$56,'Results Flue gas - membran (GF)'!$AI$59,'Results Flue gas - membran (GF)'!$AI$62,'Results Flue gas - membran (GF)'!$AI$65,'Results Flue gas - membran (GF)'!$AI$68,'Results Flue gas - membran (GF)'!$AI$71,'Results Flue gas - membran (GF)'!$AI$74,'Results Flue gas - membran (GF)'!$AI$77,'Results Flue gas - membran (GF)'!$AI$80)</c:f>
              <c:numCache>
                <c:formatCode>0.0%</c:formatCode>
                <c:ptCount val="15"/>
                <c:pt idx="0">
                  <c:v>1.3140402556815216E-2</c:v>
                </c:pt>
                <c:pt idx="1">
                  <c:v>2.2104356471424509E-3</c:v>
                </c:pt>
                <c:pt idx="2">
                  <c:v>-1.2153779220311464E-3</c:v>
                </c:pt>
                <c:pt idx="3">
                  <c:v>8.7845435696401297E-2</c:v>
                </c:pt>
                <c:pt idx="4">
                  <c:v>2.8615322888632645E-2</c:v>
                </c:pt>
                <c:pt idx="5">
                  <c:v>6.8159184794513517E-3</c:v>
                </c:pt>
                <c:pt idx="6">
                  <c:v>1.7638768676131403E-2</c:v>
                </c:pt>
                <c:pt idx="7">
                  <c:v>7.1565247072944886E-3</c:v>
                </c:pt>
                <c:pt idx="8">
                  <c:v>3.3767664967287968E-2</c:v>
                </c:pt>
                <c:pt idx="9">
                  <c:v>7.0554070043698557E-3</c:v>
                </c:pt>
                <c:pt idx="10">
                  <c:v>3.6164893220742039E-2</c:v>
                </c:pt>
                <c:pt idx="11">
                  <c:v>3.2197244470002374E-3</c:v>
                </c:pt>
                <c:pt idx="12">
                  <c:v>1.9220233787089369E-2</c:v>
                </c:pt>
                <c:pt idx="13">
                  <c:v>3.2163079955221406E-2</c:v>
                </c:pt>
                <c:pt idx="14">
                  <c:v>7.8213302140458379E-3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9F-4CFD-A0C8-7F00A671ECEF}"/>
            </c:ext>
          </c:extLst>
        </c:ser>
        <c:ser>
          <c:idx val="4"/>
          <c:order val="4"/>
          <c:tx>
            <c:strRef>
              <c:f>'Results Flue gas - membran (GF)'!$AJ$35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Flue gas - membran (GF)'!$B$81:$B$95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Flue gas - membran (GF)'!$AJ$38,'Results Flue gas - membran (GF)'!$AJ$41,'Results Flue gas - membran (GF)'!$AJ$44,'Results Flue gas - membran (GF)'!$AJ$47,'Results Flue gas - membran (GF)'!$AJ$50,'Results Flue gas - membran (GF)'!$AJ$53,'Results Flue gas - membran (GF)'!$AJ$56,'Results Flue gas - membran (GF)'!$AJ$59,'Results Flue gas - membran (GF)'!$AJ$62,'Results Flue gas - membran (GF)'!$AJ$65,'Results Flue gas - membran (GF)'!$AJ$68,'Results Flue gas - membran (GF)'!$AJ$71,'Results Flue gas - membran (GF)'!$AJ$74,'Results Flue gas - membran (GF)'!$AJ$77,'Results Flue gas - membran (GF)'!$AJ$80)</c:f>
              <c:numCache>
                <c:formatCode>0.0%</c:formatCode>
                <c:ptCount val="15"/>
                <c:pt idx="0">
                  <c:v>0.74532103365956226</c:v>
                </c:pt>
                <c:pt idx="1">
                  <c:v>0.49324623927621503</c:v>
                </c:pt>
                <c:pt idx="2">
                  <c:v>0.69741165807453076</c:v>
                </c:pt>
                <c:pt idx="3">
                  <c:v>1.2265286078803559</c:v>
                </c:pt>
                <c:pt idx="4">
                  <c:v>0.80092275836738713</c:v>
                </c:pt>
                <c:pt idx="5">
                  <c:v>0.79107743065638281</c:v>
                </c:pt>
                <c:pt idx="6">
                  <c:v>0.74560468253218537</c:v>
                </c:pt>
                <c:pt idx="7">
                  <c:v>0.8135373312514238</c:v>
                </c:pt>
                <c:pt idx="8">
                  <c:v>0.66459770495597104</c:v>
                </c:pt>
                <c:pt idx="9">
                  <c:v>0.49466270283352193</c:v>
                </c:pt>
                <c:pt idx="10">
                  <c:v>0.6322163026631904</c:v>
                </c:pt>
                <c:pt idx="11">
                  <c:v>0.27662468374008192</c:v>
                </c:pt>
                <c:pt idx="12">
                  <c:v>0.74286808022229955</c:v>
                </c:pt>
                <c:pt idx="13">
                  <c:v>0.7741151543989655</c:v>
                </c:pt>
                <c:pt idx="14">
                  <c:v>0.44380168953178789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9F-4CFD-A0C8-7F00A671E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5537487"/>
        <c:axId val="1664588207"/>
      </c:barChart>
      <c:catAx>
        <c:axId val="83553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4588207"/>
        <c:crosses val="autoZero"/>
        <c:auto val="1"/>
        <c:lblAlgn val="ctr"/>
        <c:lblOffset val="100"/>
        <c:noMultiLvlLbl val="0"/>
      </c:catAx>
      <c:valAx>
        <c:axId val="16645882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553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Biogas - membrane (GF)'!$N$4</c:f>
              <c:strCache>
                <c:ptCount val="1"/>
                <c:pt idx="0">
                  <c:v>Biostimulant delivery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(GF)'!$L$5:$L$19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membrane (GF)'!$N$5:$N$19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B1-4880-BB1C-57E92FB455A6}"/>
            </c:ext>
          </c:extLst>
        </c:ser>
        <c:ser>
          <c:idx val="1"/>
          <c:order val="1"/>
          <c:tx>
            <c:strRef>
              <c:f>'Results Biogas - membrane (GF)'!$O$4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(GF)'!$L$5:$L$19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membrane (GF)'!$O$5:$O$19</c:f>
              <c:numCache>
                <c:formatCode>0%</c:formatCode>
                <c:ptCount val="15"/>
                <c:pt idx="0">
                  <c:v>0.96394590041515738</c:v>
                </c:pt>
                <c:pt idx="1">
                  <c:v>0.9564518342798547</c:v>
                </c:pt>
                <c:pt idx="2">
                  <c:v>0.95799550082571472</c:v>
                </c:pt>
                <c:pt idx="3">
                  <c:v>0.97252086265131232</c:v>
                </c:pt>
                <c:pt idx="4">
                  <c:v>0.9281886387984889</c:v>
                </c:pt>
                <c:pt idx="5">
                  <c:v>0.91961443702801182</c:v>
                </c:pt>
                <c:pt idx="6">
                  <c:v>0.9315961429868459</c:v>
                </c:pt>
                <c:pt idx="7">
                  <c:v>0.91178649858913152</c:v>
                </c:pt>
                <c:pt idx="8">
                  <c:v>0.96135243640463408</c:v>
                </c:pt>
                <c:pt idx="9">
                  <c:v>0.95082454315852027</c:v>
                </c:pt>
                <c:pt idx="10">
                  <c:v>0.96682784653696285</c:v>
                </c:pt>
                <c:pt idx="11">
                  <c:v>0.9794862317501386</c:v>
                </c:pt>
                <c:pt idx="12">
                  <c:v>0.94008606414339602</c:v>
                </c:pt>
                <c:pt idx="13">
                  <c:v>0.94119411289988419</c:v>
                </c:pt>
                <c:pt idx="14">
                  <c:v>0.95059348686212841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B1-4880-BB1C-57E92FB455A6}"/>
            </c:ext>
          </c:extLst>
        </c:ser>
        <c:ser>
          <c:idx val="2"/>
          <c:order val="2"/>
          <c:tx>
            <c:strRef>
              <c:f>'Results Biogas - membrane (GF)'!$P$4</c:f>
              <c:strCache>
                <c:ptCount val="1"/>
                <c:pt idx="0">
                  <c:v>Final tank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(GF)'!$L$5:$L$19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membrane (GF)'!$P$5:$P$19</c:f>
              <c:numCache>
                <c:formatCode>0%</c:formatCode>
                <c:ptCount val="15"/>
                <c:pt idx="0">
                  <c:v>1.9153730229028452E-8</c:v>
                </c:pt>
                <c:pt idx="1">
                  <c:v>2.1907555980711756E-7</c:v>
                </c:pt>
                <c:pt idx="2">
                  <c:v>8.1061157762175851E-8</c:v>
                </c:pt>
                <c:pt idx="3">
                  <c:v>2.7114893940092353E-6</c:v>
                </c:pt>
                <c:pt idx="4">
                  <c:v>1.1661307609847065E-12</c:v>
                </c:pt>
                <c:pt idx="5">
                  <c:v>3.7344258880361027E-6</c:v>
                </c:pt>
                <c:pt idx="6">
                  <c:v>2.9828170082789835E-5</c:v>
                </c:pt>
                <c:pt idx="7">
                  <c:v>1.0896960592894498E-8</c:v>
                </c:pt>
                <c:pt idx="8">
                  <c:v>2.2946854637799057E-7</c:v>
                </c:pt>
                <c:pt idx="9">
                  <c:v>0</c:v>
                </c:pt>
                <c:pt idx="10">
                  <c:v>2.5211895382771569E-6</c:v>
                </c:pt>
                <c:pt idx="11">
                  <c:v>0</c:v>
                </c:pt>
                <c:pt idx="12">
                  <c:v>7.845084408520593E-11</c:v>
                </c:pt>
                <c:pt idx="13">
                  <c:v>4.0055011513349367E-4</c:v>
                </c:pt>
                <c:pt idx="14">
                  <c:v>1.2174089479557676E-2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B1-4880-BB1C-57E92FB455A6}"/>
            </c:ext>
          </c:extLst>
        </c:ser>
        <c:ser>
          <c:idx val="3"/>
          <c:order val="3"/>
          <c:tx>
            <c:strRef>
              <c:f>'Results Biogas - membrane (GF)'!$Q$4</c:f>
              <c:strCache>
                <c:ptCount val="1"/>
                <c:pt idx="0">
                  <c:v>Transport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(GF)'!$L$5:$L$19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membrane (GF)'!$Q$5:$Q$19</c:f>
              <c:numCache>
                <c:formatCode>0%</c:formatCode>
                <c:ptCount val="15"/>
                <c:pt idx="0">
                  <c:v>3.6054080431112377E-2</c:v>
                </c:pt>
                <c:pt idx="1">
                  <c:v>4.3547946644585563E-2</c:v>
                </c:pt>
                <c:pt idx="2">
                  <c:v>4.2004418113127488E-2</c:v>
                </c:pt>
                <c:pt idx="3">
                  <c:v>2.7476425859293583E-2</c:v>
                </c:pt>
                <c:pt idx="4">
                  <c:v>7.1811361200344981E-2</c:v>
                </c:pt>
                <c:pt idx="5">
                  <c:v>8.0381828546100098E-2</c:v>
                </c:pt>
                <c:pt idx="6">
                  <c:v>6.8374028843071255E-2</c:v>
                </c:pt>
                <c:pt idx="7">
                  <c:v>8.8213490513907852E-2</c:v>
                </c:pt>
                <c:pt idx="8">
                  <c:v>3.8647334126819463E-2</c:v>
                </c:pt>
                <c:pt idx="9">
                  <c:v>4.9175456841479719E-2</c:v>
                </c:pt>
                <c:pt idx="10">
                  <c:v>3.3169632273498881E-2</c:v>
                </c:pt>
                <c:pt idx="11">
                  <c:v>2.0513768249861397E-2</c:v>
                </c:pt>
                <c:pt idx="12">
                  <c:v>5.9913935778153057E-2</c:v>
                </c:pt>
                <c:pt idx="13">
                  <c:v>5.8405336984982334E-2</c:v>
                </c:pt>
                <c:pt idx="14">
                  <c:v>3.723242365831389E-2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B1-4880-BB1C-57E92FB455A6}"/>
            </c:ext>
          </c:extLst>
        </c:ser>
        <c:ser>
          <c:idx val="4"/>
          <c:order val="4"/>
          <c:tx>
            <c:strRef>
              <c:f>'Results Biogas - membrane (GF)'!$R$4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(GF)'!$L$5:$L$19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membrane (GF)'!$R$5:$R$19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4-9DB1-4880-BB1C-57E92FB455A6}"/>
            </c:ext>
          </c:extLst>
        </c:ser>
        <c:ser>
          <c:idx val="5"/>
          <c:order val="5"/>
          <c:tx>
            <c:strRef>
              <c:f>'Results Biogas - membrane (GF)'!$S$4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(GF)'!$L$5:$L$19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membrane (GF)'!$S$5:$S$19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5-9DB1-4880-BB1C-57E92FB45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6114735"/>
        <c:axId val="1862555151"/>
      </c:barChart>
      <c:catAx>
        <c:axId val="1526114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55151"/>
        <c:crosses val="autoZero"/>
        <c:auto val="1"/>
        <c:lblAlgn val="ctr"/>
        <c:lblOffset val="100"/>
        <c:noMultiLvlLbl val="0"/>
      </c:catAx>
      <c:valAx>
        <c:axId val="186255515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6114735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SimaPro (GF)'!$L$61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(GF)'!$I$62:$I$76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SimaPro (GF)'!$L$62:$L$76</c:f>
              <c:numCache>
                <c:formatCode>0%</c:formatCode>
                <c:ptCount val="15"/>
                <c:pt idx="0">
                  <c:v>7.0700034533393519E-2</c:v>
                </c:pt>
                <c:pt idx="1">
                  <c:v>2.3641684313592513E-2</c:v>
                </c:pt>
                <c:pt idx="2">
                  <c:v>9.6974735530812303E-2</c:v>
                </c:pt>
                <c:pt idx="3">
                  <c:v>0.10130856023650574</c:v>
                </c:pt>
                <c:pt idx="4">
                  <c:v>5.6619317665015781E-2</c:v>
                </c:pt>
                <c:pt idx="5">
                  <c:v>2.2360097974942757E-2</c:v>
                </c:pt>
                <c:pt idx="6">
                  <c:v>4.471492635367267E-2</c:v>
                </c:pt>
                <c:pt idx="7">
                  <c:v>1.8520374986542739E-2</c:v>
                </c:pt>
                <c:pt idx="8">
                  <c:v>0.10448261581676688</c:v>
                </c:pt>
                <c:pt idx="9">
                  <c:v>3.1816082810738944E-2</c:v>
                </c:pt>
                <c:pt idx="10">
                  <c:v>0.11217202426907651</c:v>
                </c:pt>
                <c:pt idx="11">
                  <c:v>4.44894415396139E-2</c:v>
                </c:pt>
                <c:pt idx="12">
                  <c:v>6.1857125363936449E-2</c:v>
                </c:pt>
                <c:pt idx="13">
                  <c:v>7.421844787400296E-2</c:v>
                </c:pt>
                <c:pt idx="14">
                  <c:v>1.8282446018302714E-2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8D-4097-8EF5-A5768A259B2A}"/>
            </c:ext>
          </c:extLst>
        </c:ser>
        <c:ser>
          <c:idx val="1"/>
          <c:order val="1"/>
          <c:tx>
            <c:strRef>
              <c:f>'Results SimaPro (GF)'!$K$61</c:f>
              <c:strCache>
                <c:ptCount val="1"/>
                <c:pt idx="0">
                  <c:v>Biomass cultivation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(GF)'!$I$62:$I$76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SimaPro (GF)'!$K$62:$K$76</c:f>
              <c:numCache>
                <c:formatCode>0%</c:formatCode>
                <c:ptCount val="15"/>
                <c:pt idx="0">
                  <c:v>0.92929996546660654</c:v>
                </c:pt>
                <c:pt idx="1">
                  <c:v>0.97635831568640741</c:v>
                </c:pt>
                <c:pt idx="2">
                  <c:v>0.90302526446918774</c:v>
                </c:pt>
                <c:pt idx="3">
                  <c:v>0.89869143976349419</c:v>
                </c:pt>
                <c:pt idx="4">
                  <c:v>0.94338068233498418</c:v>
                </c:pt>
                <c:pt idx="5">
                  <c:v>0.97763990202505724</c:v>
                </c:pt>
                <c:pt idx="6">
                  <c:v>0.95528507364632742</c:v>
                </c:pt>
                <c:pt idx="7">
                  <c:v>0.98147962501345731</c:v>
                </c:pt>
                <c:pt idx="8">
                  <c:v>0.89551738418323312</c:v>
                </c:pt>
                <c:pt idx="9">
                  <c:v>0.968183917189261</c:v>
                </c:pt>
                <c:pt idx="10">
                  <c:v>0.88782797573092354</c:v>
                </c:pt>
                <c:pt idx="11">
                  <c:v>0.95551055846038613</c:v>
                </c:pt>
                <c:pt idx="12">
                  <c:v>0.9381428746360635</c:v>
                </c:pt>
                <c:pt idx="13">
                  <c:v>0.92578155212599711</c:v>
                </c:pt>
                <c:pt idx="14">
                  <c:v>0.98171755398169736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8D-4097-8EF5-A5768A259B2A}"/>
            </c:ext>
          </c:extLst>
        </c:ser>
        <c:ser>
          <c:idx val="2"/>
          <c:order val="2"/>
          <c:tx>
            <c:strRef>
              <c:f>'Results SimaPro (GF)'!$M$61</c:f>
              <c:strCache>
                <c:ptCount val="1"/>
                <c:pt idx="0">
                  <c:v>Irrigation water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(GF)'!$I$62:$I$76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SimaPro (GF)'!$M$62:$M$76</c:f>
              <c:numCache>
                <c:formatCode>0%</c:formatCode>
                <c:ptCount val="15"/>
                <c:pt idx="0">
                  <c:v>-3.4213606902630728E-2</c:v>
                </c:pt>
                <c:pt idx="1">
                  <c:v>-1.2172138614792027E-2</c:v>
                </c:pt>
                <c:pt idx="2">
                  <c:v>-6.7295301771499935E-2</c:v>
                </c:pt>
                <c:pt idx="3">
                  <c:v>-8.403716371627408E-3</c:v>
                </c:pt>
                <c:pt idx="4">
                  <c:v>-6.9359544705019519E-3</c:v>
                </c:pt>
                <c:pt idx="5">
                  <c:v>-7.5130134243746169E-3</c:v>
                </c:pt>
                <c:pt idx="6">
                  <c:v>-1.0678872863654928E-2</c:v>
                </c:pt>
                <c:pt idx="7">
                  <c:v>-4.5637278149836058E-3</c:v>
                </c:pt>
                <c:pt idx="8">
                  <c:v>-2.9621096897112602E-2</c:v>
                </c:pt>
                <c:pt idx="9">
                  <c:v>-9.355773659425054E-3</c:v>
                </c:pt>
                <c:pt idx="10">
                  <c:v>-3.1163575903578E-2</c:v>
                </c:pt>
                <c:pt idx="11">
                  <c:v>-2.3389806074198424E-2</c:v>
                </c:pt>
                <c:pt idx="12">
                  <c:v>-2.1693190075842392E-2</c:v>
                </c:pt>
                <c:pt idx="13">
                  <c:v>-1.6769654701521249E-2</c:v>
                </c:pt>
                <c:pt idx="14">
                  <c:v>-5.3582213015664071E-3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8D-4097-8EF5-A5768A259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6114735"/>
        <c:axId val="1862555151"/>
      </c:barChart>
      <c:catAx>
        <c:axId val="1526114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55151"/>
        <c:crosses val="autoZero"/>
        <c:auto val="1"/>
        <c:lblAlgn val="ctr"/>
        <c:lblOffset val="100"/>
        <c:noMultiLvlLbl val="0"/>
      </c:catAx>
      <c:valAx>
        <c:axId val="186255515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6114735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Biogas - membrane (GF)'!$N$23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membrane (GF)'!$N$24:$N$38</c:f>
              <c:numCache>
                <c:formatCode>0%</c:formatCode>
                <c:ptCount val="15"/>
                <c:pt idx="0">
                  <c:v>0.79717481235718879</c:v>
                </c:pt>
                <c:pt idx="1">
                  <c:v>0.52134604306634635</c:v>
                </c:pt>
                <c:pt idx="2">
                  <c:v>0.74050973783441099</c:v>
                </c:pt>
                <c:pt idx="3">
                  <c:v>0.95121818426440963</c:v>
                </c:pt>
                <c:pt idx="4">
                  <c:v>0.90238986550114897</c:v>
                </c:pt>
                <c:pt idx="5">
                  <c:v>0.87089086552192274</c:v>
                </c:pt>
                <c:pt idx="6">
                  <c:v>0.82839152151682305</c:v>
                </c:pt>
                <c:pt idx="7">
                  <c:v>0.90317159552105886</c:v>
                </c:pt>
                <c:pt idx="8">
                  <c:v>0.74209571059767443</c:v>
                </c:pt>
                <c:pt idx="9">
                  <c:v>0.52958851145342123</c:v>
                </c:pt>
                <c:pt idx="10">
                  <c:v>0.70671223309847808</c:v>
                </c:pt>
                <c:pt idx="11">
                  <c:v>0.28986067460680648</c:v>
                </c:pt>
                <c:pt idx="12">
                  <c:v>0.82067808926583563</c:v>
                </c:pt>
                <c:pt idx="13">
                  <c:v>0.86884193252092701</c:v>
                </c:pt>
                <c:pt idx="14">
                  <c:v>0.47944165325083088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ED-4E00-A56C-4061D10F29BB}"/>
            </c:ext>
          </c:extLst>
        </c:ser>
        <c:ser>
          <c:idx val="1"/>
          <c:order val="1"/>
          <c:tx>
            <c:strRef>
              <c:f>'Results Biogas - membrane (GF)'!$O$23</c:f>
              <c:strCache>
                <c:ptCount val="1"/>
                <c:pt idx="0">
                  <c:v>Phosphate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membrane (GF)'!$O$24:$O$38</c:f>
              <c:numCache>
                <c:formatCode>0%</c:formatCode>
                <c:ptCount val="15"/>
                <c:pt idx="0">
                  <c:v>0.19877719456671228</c:v>
                </c:pt>
                <c:pt idx="1">
                  <c:v>0.4777710808219322</c:v>
                </c:pt>
                <c:pt idx="2">
                  <c:v>0.25034353156733102</c:v>
                </c:pt>
                <c:pt idx="3">
                  <c:v>4.2645968257930114E-2</c:v>
                </c:pt>
                <c:pt idx="4">
                  <c:v>9.4366137048383994E-2</c:v>
                </c:pt>
                <c:pt idx="5">
                  <c:v>0.10081576441014706</c:v>
                </c:pt>
                <c:pt idx="6">
                  <c:v>0.1690895009895215</c:v>
                </c:pt>
                <c:pt idx="7">
                  <c:v>9.5725700798869301E-2</c:v>
                </c:pt>
                <c:pt idx="8">
                  <c:v>0.24629101521712465</c:v>
                </c:pt>
                <c:pt idx="9">
                  <c:v>0.46922754253675131</c:v>
                </c:pt>
                <c:pt idx="10">
                  <c:v>0.28109586442968171</c:v>
                </c:pt>
                <c:pt idx="11">
                  <c:v>0.61312435864167314</c:v>
                </c:pt>
                <c:pt idx="12">
                  <c:v>0.14867794049651081</c:v>
                </c:pt>
                <c:pt idx="13">
                  <c:v>0.10160249773287991</c:v>
                </c:pt>
                <c:pt idx="14">
                  <c:v>0.51714298775866796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ED-4E00-A56C-4061D10F29BB}"/>
            </c:ext>
          </c:extLst>
        </c:ser>
        <c:ser>
          <c:idx val="2"/>
          <c:order val="2"/>
          <c:tx>
            <c:strRef>
              <c:f>'Results Biogas - membrane (GF)'!$P$23</c:f>
              <c:strCache>
                <c:ptCount val="1"/>
                <c:pt idx="0">
                  <c:v>Enzyme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membrane (GF)'!$P$24:$P$38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6.4900964780257979E-4</c:v>
                </c:pt>
                <c:pt idx="3">
                  <c:v>0</c:v>
                </c:pt>
                <c:pt idx="4">
                  <c:v>0</c:v>
                </c:pt>
                <c:pt idx="5">
                  <c:v>8.0947804969143597E-3</c:v>
                </c:pt>
                <c:pt idx="6">
                  <c:v>6.5690599941565757E-11</c:v>
                </c:pt>
                <c:pt idx="7">
                  <c:v>4.59465319748875E-10</c:v>
                </c:pt>
                <c:pt idx="8">
                  <c:v>5.4261588010659501E-4</c:v>
                </c:pt>
                <c:pt idx="9">
                  <c:v>0</c:v>
                </c:pt>
                <c:pt idx="10">
                  <c:v>1.6568612626416531E-3</c:v>
                </c:pt>
                <c:pt idx="11">
                  <c:v>9.5762531497278702E-2</c:v>
                </c:pt>
                <c:pt idx="12">
                  <c:v>6.5233843076482369E-3</c:v>
                </c:pt>
                <c:pt idx="13">
                  <c:v>4.5259149678474019E-3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ED-4E00-A56C-4061D10F29BB}"/>
            </c:ext>
          </c:extLst>
        </c:ser>
        <c:ser>
          <c:idx val="3"/>
          <c:order val="3"/>
          <c:tx>
            <c:strRef>
              <c:f>'Results Biogas - membrane (GF)'!$Q$23</c:f>
              <c:strCache>
                <c:ptCount val="1"/>
                <c:pt idx="0">
                  <c:v>Reactor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membrane (GF)'!$Q$24:$Q$38</c:f>
              <c:numCache>
                <c:formatCode>0%</c:formatCode>
                <c:ptCount val="15"/>
                <c:pt idx="0">
                  <c:v>3.3104588961006146E-9</c:v>
                </c:pt>
                <c:pt idx="1">
                  <c:v>3.8133068388923228E-8</c:v>
                </c:pt>
                <c:pt idx="2">
                  <c:v>1.4135099196982805E-8</c:v>
                </c:pt>
                <c:pt idx="3">
                  <c:v>3.2379464833597863E-7</c:v>
                </c:pt>
                <c:pt idx="4">
                  <c:v>2.0966893567295417E-13</c:v>
                </c:pt>
                <c:pt idx="5">
                  <c:v>6.7685676452287969E-7</c:v>
                </c:pt>
                <c:pt idx="6">
                  <c:v>5.3498729962330367E-6</c:v>
                </c:pt>
                <c:pt idx="7">
                  <c:v>1.9937192059939941E-9</c:v>
                </c:pt>
                <c:pt idx="8">
                  <c:v>3.9762910604958661E-8</c:v>
                </c:pt>
                <c:pt idx="9">
                  <c:v>0</c:v>
                </c:pt>
                <c:pt idx="10">
                  <c:v>4.3323588406161268E-7</c:v>
                </c:pt>
                <c:pt idx="11">
                  <c:v>0</c:v>
                </c:pt>
                <c:pt idx="12">
                  <c:v>1.3943727817826714E-11</c:v>
                </c:pt>
                <c:pt idx="13">
                  <c:v>7.0960359413775975E-5</c:v>
                </c:pt>
                <c:pt idx="14">
                  <c:v>2.1420900027002299E-3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ED-4E00-A56C-4061D10F29BB}"/>
            </c:ext>
          </c:extLst>
        </c:ser>
        <c:ser>
          <c:idx val="4"/>
          <c:order val="4"/>
          <c:tx>
            <c:strRef>
              <c:f>'Results Biogas - membrane (GF)'!$R$23</c:f>
              <c:strCache>
                <c:ptCount val="1"/>
                <c:pt idx="0">
                  <c:v>Steam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membrane (GF)'!$R$24:$R$38</c:f>
              <c:numCache>
                <c:formatCode>0%</c:formatCode>
                <c:ptCount val="15"/>
                <c:pt idx="0">
                  <c:v>3.0986619359673152E-5</c:v>
                </c:pt>
                <c:pt idx="1">
                  <c:v>6.7465542576381372E-5</c:v>
                </c:pt>
                <c:pt idx="2">
                  <c:v>3.4694846828695388E-3</c:v>
                </c:pt>
                <c:pt idx="3">
                  <c:v>1.1180144720346444E-4</c:v>
                </c:pt>
                <c:pt idx="4">
                  <c:v>4.5654337507101396E-5</c:v>
                </c:pt>
                <c:pt idx="5">
                  <c:v>1.894739986540565E-2</c:v>
                </c:pt>
                <c:pt idx="6">
                  <c:v>2.284286378432537E-5</c:v>
                </c:pt>
                <c:pt idx="7">
                  <c:v>5.1593223349437637E-5</c:v>
                </c:pt>
                <c:pt idx="8">
                  <c:v>5.9584832073097975E-3</c:v>
                </c:pt>
                <c:pt idx="9">
                  <c:v>7.154104889134594E-5</c:v>
                </c:pt>
                <c:pt idx="10">
                  <c:v>5.1827707261433986E-3</c:v>
                </c:pt>
                <c:pt idx="11">
                  <c:v>1.4688917371293537E-5</c:v>
                </c:pt>
                <c:pt idx="12">
                  <c:v>2.0531503070036001E-2</c:v>
                </c:pt>
                <c:pt idx="13">
                  <c:v>2.061208989571121E-2</c:v>
                </c:pt>
                <c:pt idx="14">
                  <c:v>3.8627032703676323E-5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ED-4E00-A56C-4061D10F29BB}"/>
            </c:ext>
          </c:extLst>
        </c:ser>
        <c:ser>
          <c:idx val="5"/>
          <c:order val="5"/>
          <c:tx>
            <c:strRef>
              <c:f>'Results Biogas - membrane (GF)'!$S$23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(GF)'!$L$24:$L$38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membrane (GF)'!$S$24:$S$38</c:f>
              <c:numCache>
                <c:formatCode>0%</c:formatCode>
                <c:ptCount val="15"/>
                <c:pt idx="0">
                  <c:v>4.0170031462803393E-3</c:v>
                </c:pt>
                <c:pt idx="1">
                  <c:v>8.1537243607682599E-4</c:v>
                </c:pt>
                <c:pt idx="2">
                  <c:v>5.0282221324867192E-3</c:v>
                </c:pt>
                <c:pt idx="3">
                  <c:v>6.0237222358085051E-3</c:v>
                </c:pt>
                <c:pt idx="4">
                  <c:v>3.1983431127502742E-3</c:v>
                </c:pt>
                <c:pt idx="5">
                  <c:v>1.2505128488456585E-3</c:v>
                </c:pt>
                <c:pt idx="6">
                  <c:v>2.4907846911843053E-3</c:v>
                </c:pt>
                <c:pt idx="7">
                  <c:v>1.0511080035380176E-3</c:v>
                </c:pt>
                <c:pt idx="8">
                  <c:v>5.1121353348736976E-3</c:v>
                </c:pt>
                <c:pt idx="9">
                  <c:v>1.1124049609359972E-3</c:v>
                </c:pt>
                <c:pt idx="10">
                  <c:v>5.351837247171207E-3</c:v>
                </c:pt>
                <c:pt idx="11">
                  <c:v>1.2377463368704199E-3</c:v>
                </c:pt>
                <c:pt idx="12">
                  <c:v>3.5890828460259381E-3</c:v>
                </c:pt>
                <c:pt idx="13">
                  <c:v>4.3466045232206001E-3</c:v>
                </c:pt>
                <c:pt idx="14">
                  <c:v>1.2346419550971657E-3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9ED-4E00-A56C-4061D10F2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2589263"/>
        <c:axId val="1862564271"/>
      </c:barChart>
      <c:catAx>
        <c:axId val="1422589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64271"/>
        <c:crosses val="autoZero"/>
        <c:auto val="1"/>
        <c:lblAlgn val="ctr"/>
        <c:lblOffset val="100"/>
        <c:noMultiLvlLbl val="0"/>
      </c:catAx>
      <c:valAx>
        <c:axId val="186256427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22589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Biogas - membrane (GF)'!$K$42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(GF)'!$H$43:$H$57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membrane (GF)'!$K$43:$K$57</c:f>
              <c:numCache>
                <c:formatCode>0%</c:formatCode>
                <c:ptCount val="15"/>
                <c:pt idx="0">
                  <c:v>1.2488952238358653E-2</c:v>
                </c:pt>
                <c:pt idx="1">
                  <c:v>3.8762103742226261E-3</c:v>
                </c:pt>
                <c:pt idx="2">
                  <c:v>1.682914603862511E-2</c:v>
                </c:pt>
                <c:pt idx="3">
                  <c:v>1.5695029827179987E-2</c:v>
                </c:pt>
                <c:pt idx="4">
                  <c:v>8.7840376153087811E-3</c:v>
                </c:pt>
                <c:pt idx="5">
                  <c:v>3.5586781398755031E-3</c:v>
                </c:pt>
                <c:pt idx="6">
                  <c:v>7.4520866468779047E-3</c:v>
                </c:pt>
                <c:pt idx="7">
                  <c:v>2.8843929659636194E-3</c:v>
                </c:pt>
                <c:pt idx="8">
                  <c:v>1.7073392455341681E-2</c:v>
                </c:pt>
                <c:pt idx="9">
                  <c:v>5.2059688155934808E-3</c:v>
                </c:pt>
                <c:pt idx="10">
                  <c:v>1.8768855577153191E-2</c:v>
                </c:pt>
                <c:pt idx="11">
                  <c:v>1.0583202618055752E-2</c:v>
                </c:pt>
                <c:pt idx="12">
                  <c:v>1.0838969616424506E-2</c:v>
                </c:pt>
                <c:pt idx="13">
                  <c:v>1.2399001333116231E-2</c:v>
                </c:pt>
                <c:pt idx="14">
                  <c:v>6.3823810479788764E-3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2C-4520-850C-BC62AACCCE44}"/>
            </c:ext>
          </c:extLst>
        </c:ser>
        <c:ser>
          <c:idx val="1"/>
          <c:order val="1"/>
          <c:tx>
            <c:strRef>
              <c:f>'Results Biogas - membrane (GF)'!$J$42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(GF)'!$H$43:$H$57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membrane (GF)'!$J$43:$J$57</c:f>
              <c:numCache>
                <c:formatCode>0%</c:formatCode>
                <c:ptCount val="15"/>
                <c:pt idx="0">
                  <c:v>0.98751104776164145</c:v>
                </c:pt>
                <c:pt idx="1">
                  <c:v>0.9961237896257773</c:v>
                </c:pt>
                <c:pt idx="2">
                  <c:v>0.98317085396137494</c:v>
                </c:pt>
                <c:pt idx="3">
                  <c:v>0.98430497017281993</c:v>
                </c:pt>
                <c:pt idx="4">
                  <c:v>0.99121596238469123</c:v>
                </c:pt>
                <c:pt idx="5">
                  <c:v>0.99644132186012457</c:v>
                </c:pt>
                <c:pt idx="6">
                  <c:v>0.99254791335312209</c:v>
                </c:pt>
                <c:pt idx="7">
                  <c:v>0.99711560703403634</c:v>
                </c:pt>
                <c:pt idx="8">
                  <c:v>0.98292660754465833</c:v>
                </c:pt>
                <c:pt idx="9">
                  <c:v>0.99479403118440657</c:v>
                </c:pt>
                <c:pt idx="10">
                  <c:v>0.98123114442284687</c:v>
                </c:pt>
                <c:pt idx="11">
                  <c:v>0.98941679738194421</c:v>
                </c:pt>
                <c:pt idx="12">
                  <c:v>0.9891610303835755</c:v>
                </c:pt>
                <c:pt idx="13">
                  <c:v>0.98760099866688378</c:v>
                </c:pt>
                <c:pt idx="14">
                  <c:v>0.99361761895202105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2C-4520-850C-BC62AACCC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6114735"/>
        <c:axId val="1862555151"/>
      </c:barChart>
      <c:catAx>
        <c:axId val="1526114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55151"/>
        <c:crosses val="autoZero"/>
        <c:auto val="1"/>
        <c:lblAlgn val="ctr"/>
        <c:lblOffset val="100"/>
        <c:noMultiLvlLbl val="0"/>
      </c:catAx>
      <c:valAx>
        <c:axId val="186255515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6114735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Biogas - membrane (GF)'!$L$61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(GF)'!$I$62:$I$76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membrane (GF)'!$L$62:$L$76</c:f>
              <c:numCache>
                <c:formatCode>0%</c:formatCode>
                <c:ptCount val="15"/>
                <c:pt idx="0">
                  <c:v>5.7270415520377878E-2</c:v>
                </c:pt>
                <c:pt idx="1">
                  <c:v>1.8118528816390842E-2</c:v>
                </c:pt>
                <c:pt idx="2">
                  <c:v>7.464897444944088E-2</c:v>
                </c:pt>
                <c:pt idx="3">
                  <c:v>7.4591984597428954E-2</c:v>
                </c:pt>
                <c:pt idx="4">
                  <c:v>4.1523229593469539E-2</c:v>
                </c:pt>
                <c:pt idx="5">
                  <c:v>1.6721185685215668E-2</c:v>
                </c:pt>
                <c:pt idx="6">
                  <c:v>3.5009172486278474E-2</c:v>
                </c:pt>
                <c:pt idx="7">
                  <c:v>1.3589267871963545E-2</c:v>
                </c:pt>
                <c:pt idx="8">
                  <c:v>7.929028724108346E-2</c:v>
                </c:pt>
                <c:pt idx="9">
                  <c:v>2.4444559379621554E-2</c:v>
                </c:pt>
                <c:pt idx="10">
                  <c:v>8.7086789075862994E-2</c:v>
                </c:pt>
                <c:pt idx="11">
                  <c:v>4.8598096407061808E-2</c:v>
                </c:pt>
                <c:pt idx="12">
                  <c:v>5.0385969025112311E-2</c:v>
                </c:pt>
                <c:pt idx="13">
                  <c:v>5.8124750885560093E-2</c:v>
                </c:pt>
                <c:pt idx="14">
                  <c:v>2.9933137548143005E-2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05-4CE8-8290-51A61FB8F010}"/>
            </c:ext>
          </c:extLst>
        </c:ser>
        <c:ser>
          <c:idx val="1"/>
          <c:order val="1"/>
          <c:tx>
            <c:strRef>
              <c:f>'Results Biogas - membrane (GF)'!$K$61</c:f>
              <c:strCache>
                <c:ptCount val="1"/>
                <c:pt idx="0">
                  <c:v>Biomass cultivation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(GF)'!$I$62:$I$76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membrane (GF)'!$K$62:$K$76</c:f>
              <c:numCache>
                <c:formatCode>0%</c:formatCode>
                <c:ptCount val="15"/>
                <c:pt idx="0">
                  <c:v>0.94272958447962207</c:v>
                </c:pt>
                <c:pt idx="1">
                  <c:v>0.98188147118360902</c:v>
                </c:pt>
                <c:pt idx="2">
                  <c:v>0.92535102555055904</c:v>
                </c:pt>
                <c:pt idx="3">
                  <c:v>0.92540801540257112</c:v>
                </c:pt>
                <c:pt idx="4">
                  <c:v>0.95847677040653045</c:v>
                </c:pt>
                <c:pt idx="5">
                  <c:v>0.98327881431478437</c:v>
                </c:pt>
                <c:pt idx="6">
                  <c:v>0.96499082751372156</c:v>
                </c:pt>
                <c:pt idx="7">
                  <c:v>0.98641073212803643</c:v>
                </c:pt>
                <c:pt idx="8">
                  <c:v>0.92070971275891655</c:v>
                </c:pt>
                <c:pt idx="9">
                  <c:v>0.97555544062037836</c:v>
                </c:pt>
                <c:pt idx="10">
                  <c:v>0.91291321092413702</c:v>
                </c:pt>
                <c:pt idx="11">
                  <c:v>0.95140190359293819</c:v>
                </c:pt>
                <c:pt idx="12">
                  <c:v>0.94961403097488772</c:v>
                </c:pt>
                <c:pt idx="13">
                  <c:v>0.94187524911443987</c:v>
                </c:pt>
                <c:pt idx="14">
                  <c:v>0.97006686245185703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05-4CE8-8290-51A61FB8F010}"/>
            </c:ext>
          </c:extLst>
        </c:ser>
        <c:ser>
          <c:idx val="2"/>
          <c:order val="2"/>
          <c:tx>
            <c:strRef>
              <c:f>'Results Biogas - membrane (GF)'!$M$61</c:f>
              <c:strCache>
                <c:ptCount val="1"/>
                <c:pt idx="0">
                  <c:v>Irrigation water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(GF)'!$I$62:$I$76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membrane (GF)'!$M$62:$M$76</c:f>
              <c:numCache>
                <c:formatCode>0%</c:formatCode>
                <c:ptCount val="15"/>
                <c:pt idx="0">
                  <c:v>-4.0790565664218854E-2</c:v>
                </c:pt>
                <c:pt idx="1">
                  <c:v>-1.3729715328496525E-2</c:v>
                </c:pt>
                <c:pt idx="2">
                  <c:v>-7.6243028515349767E-2</c:v>
                </c:pt>
                <c:pt idx="3">
                  <c:v>-9.1068369126377866E-3</c:v>
                </c:pt>
                <c:pt idx="4">
                  <c:v>-7.4865709800774833E-3</c:v>
                </c:pt>
                <c:pt idx="5">
                  <c:v>-8.2690660885853581E-3</c:v>
                </c:pt>
                <c:pt idx="6">
                  <c:v>-1.2305659612470902E-2</c:v>
                </c:pt>
                <c:pt idx="7">
                  <c:v>-4.928516019216028E-3</c:v>
                </c:pt>
                <c:pt idx="8">
                  <c:v>-3.3084703276893029E-2</c:v>
                </c:pt>
                <c:pt idx="9">
                  <c:v>-1.0579505071263623E-2</c:v>
                </c:pt>
                <c:pt idx="10">
                  <c:v>-3.560944104913575E-2</c:v>
                </c:pt>
                <c:pt idx="11">
                  <c:v>-3.7604429252068784E-2</c:v>
                </c:pt>
                <c:pt idx="12">
                  <c:v>-2.6007191613011418E-2</c:v>
                </c:pt>
                <c:pt idx="13">
                  <c:v>-1.932962869863385E-2</c:v>
                </c:pt>
                <c:pt idx="14">
                  <c:v>-1.2911858157635127E-2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05-4CE8-8290-51A61FB8F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6114735"/>
        <c:axId val="1862555151"/>
      </c:barChart>
      <c:catAx>
        <c:axId val="1526114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55151"/>
        <c:crosses val="autoZero"/>
        <c:auto val="1"/>
        <c:lblAlgn val="ctr"/>
        <c:lblOffset val="100"/>
        <c:noMultiLvlLbl val="0"/>
      </c:catAx>
      <c:valAx>
        <c:axId val="186255515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6114735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Biogas - membrane (GF)'!$N$80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membrane (GF)'!$N$81:$N$95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FB-4D49-8979-05B7FAA83C3D}"/>
            </c:ext>
          </c:extLst>
        </c:ser>
        <c:ser>
          <c:idx val="1"/>
          <c:order val="1"/>
          <c:tx>
            <c:strRef>
              <c:f>'Results Biogas - membrane (GF)'!$O$80</c:f>
              <c:strCache>
                <c:ptCount val="1"/>
                <c:pt idx="0">
                  <c:v>Pig manure (transport)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membrane (GF)'!$O$81:$O$95</c:f>
              <c:numCache>
                <c:formatCode>0%</c:formatCode>
                <c:ptCount val="15"/>
                <c:pt idx="0">
                  <c:v>0.40360239470403225</c:v>
                </c:pt>
                <c:pt idx="1">
                  <c:v>0.7321018654915975</c:v>
                </c:pt>
                <c:pt idx="2">
                  <c:v>0.50162595841622049</c:v>
                </c:pt>
                <c:pt idx="3">
                  <c:v>0.53564554806351428</c:v>
                </c:pt>
                <c:pt idx="4">
                  <c:v>0.74665121098659926</c:v>
                </c:pt>
                <c:pt idx="5">
                  <c:v>0.84688724838576046</c:v>
                </c:pt>
                <c:pt idx="6">
                  <c:v>0.76326433149101269</c:v>
                </c:pt>
                <c:pt idx="7">
                  <c:v>0.90352336207214257</c:v>
                </c:pt>
                <c:pt idx="8">
                  <c:v>0.48213768125304368</c:v>
                </c:pt>
                <c:pt idx="9">
                  <c:v>0.83294475168770676</c:v>
                </c:pt>
                <c:pt idx="10">
                  <c:v>0.43371827255387702</c:v>
                </c:pt>
                <c:pt idx="11">
                  <c:v>0.61557758083790792</c:v>
                </c:pt>
                <c:pt idx="12">
                  <c:v>0.67102252477795055</c:v>
                </c:pt>
                <c:pt idx="13">
                  <c:v>0.62912154410416488</c:v>
                </c:pt>
                <c:pt idx="14">
                  <c:v>0.69688953896968775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FB-4D49-8979-05B7FAA83C3D}"/>
            </c:ext>
          </c:extLst>
        </c:ser>
        <c:ser>
          <c:idx val="2"/>
          <c:order val="2"/>
          <c:tx>
            <c:strRef>
              <c:f>'Results Biogas - membrane (GF)'!$P$80</c:f>
              <c:strCache>
                <c:ptCount val="1"/>
                <c:pt idx="0">
                  <c:v>CO2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membrane (GF)'!$P$81:$P$95</c:f>
              <c:numCache>
                <c:formatCode>0%</c:formatCode>
                <c:ptCount val="15"/>
                <c:pt idx="0">
                  <c:v>0.1014855296828255</c:v>
                </c:pt>
                <c:pt idx="1">
                  <c:v>3.0837731311703948E-2</c:v>
                </c:pt>
                <c:pt idx="2">
                  <c:v>0.13484073928069046</c:v>
                </c:pt>
                <c:pt idx="3">
                  <c:v>0.13519899650641587</c:v>
                </c:pt>
                <c:pt idx="4">
                  <c:v>7.2331836064326804E-2</c:v>
                </c:pt>
                <c:pt idx="5">
                  <c:v>2.8371254117816571E-2</c:v>
                </c:pt>
                <c:pt idx="6">
                  <c:v>6.0861600288825847E-2</c:v>
                </c:pt>
                <c:pt idx="7">
                  <c:v>2.2984366228150994E-2</c:v>
                </c:pt>
                <c:pt idx="8">
                  <c:v>0.1440110590409418</c:v>
                </c:pt>
                <c:pt idx="9">
                  <c:v>4.1909996181132246E-2</c:v>
                </c:pt>
                <c:pt idx="10">
                  <c:v>0.15984452767830679</c:v>
                </c:pt>
                <c:pt idx="11">
                  <c:v>8.5256049928254848E-2</c:v>
                </c:pt>
                <c:pt idx="12">
                  <c:v>8.8823212817428138E-2</c:v>
                </c:pt>
                <c:pt idx="13">
                  <c:v>0.10300757676353403</c:v>
                </c:pt>
                <c:pt idx="14">
                  <c:v>5.1621447331087984E-2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FB-4D49-8979-05B7FAA83C3D}"/>
            </c:ext>
          </c:extLst>
        </c:ser>
        <c:ser>
          <c:idx val="3"/>
          <c:order val="3"/>
          <c:tx>
            <c:strRef>
              <c:f>'Results Biogas - membrane (GF)'!$Q$80</c:f>
              <c:strCache>
                <c:ptCount val="1"/>
                <c:pt idx="0">
                  <c:v>Water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membrane (GF)'!$Q$81:$Q$95</c:f>
              <c:numCache>
                <c:formatCode>0%</c:formatCode>
                <c:ptCount val="15"/>
                <c:pt idx="0">
                  <c:v>0.2735198659401305</c:v>
                </c:pt>
                <c:pt idx="1">
                  <c:v>0.10735751970027269</c:v>
                </c:pt>
                <c:pt idx="2">
                  <c:v>8.6760673518907941E-2</c:v>
                </c:pt>
                <c:pt idx="3">
                  <c:v>6.6985559352550406E-2</c:v>
                </c:pt>
                <c:pt idx="4">
                  <c:v>3.8079211760316561E-2</c:v>
                </c:pt>
                <c:pt idx="5">
                  <c:v>6.3596769459864436E-2</c:v>
                </c:pt>
                <c:pt idx="6">
                  <c:v>5.2730073937482635E-2</c:v>
                </c:pt>
                <c:pt idx="7">
                  <c:v>2.5563887225265161E-2</c:v>
                </c:pt>
                <c:pt idx="8">
                  <c:v>7.9658062914492664E-2</c:v>
                </c:pt>
                <c:pt idx="9">
                  <c:v>4.1450462926453512E-2</c:v>
                </c:pt>
                <c:pt idx="10">
                  <c:v>8.3741550295014455E-2</c:v>
                </c:pt>
                <c:pt idx="11">
                  <c:v>0.12467960342931622</c:v>
                </c:pt>
                <c:pt idx="12">
                  <c:v>6.1719039435644968E-2</c:v>
                </c:pt>
                <c:pt idx="13">
                  <c:v>6.2666989732069148E-2</c:v>
                </c:pt>
                <c:pt idx="14">
                  <c:v>0.12677177365150077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FB-4D49-8979-05B7FAA83C3D}"/>
            </c:ext>
          </c:extLst>
        </c:ser>
        <c:ser>
          <c:idx val="4"/>
          <c:order val="4"/>
          <c:tx>
            <c:strRef>
              <c:f>'Results Biogas - membrane (GF)'!$R$80</c:f>
              <c:strCache>
                <c:ptCount val="1"/>
                <c:pt idx="0">
                  <c:v>Thin-layer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membrane (GF)'!$R$81:$R$95</c:f>
              <c:numCache>
                <c:formatCode>0%</c:formatCode>
                <c:ptCount val="15"/>
                <c:pt idx="0">
                  <c:v>2.5945737874920556E-2</c:v>
                </c:pt>
                <c:pt idx="1">
                  <c:v>7.0335422615523988E-2</c:v>
                </c:pt>
                <c:pt idx="2">
                  <c:v>1.7234027101976138E-2</c:v>
                </c:pt>
                <c:pt idx="3">
                  <c:v>2.8453987629070586E-3</c:v>
                </c:pt>
                <c:pt idx="4">
                  <c:v>3.5589596628683123E-3</c:v>
                </c:pt>
                <c:pt idx="5">
                  <c:v>6.4337928626425388E-3</c:v>
                </c:pt>
                <c:pt idx="6">
                  <c:v>6.4245276784450703E-3</c:v>
                </c:pt>
                <c:pt idx="7">
                  <c:v>3.6060217747796372E-3</c:v>
                </c:pt>
                <c:pt idx="8">
                  <c:v>1.7128048268221324E-2</c:v>
                </c:pt>
                <c:pt idx="9">
                  <c:v>3.0799708745233439E-3</c:v>
                </c:pt>
                <c:pt idx="10">
                  <c:v>1.5788200340090104E-2</c:v>
                </c:pt>
                <c:pt idx="11">
                  <c:v>1.0148070973494037E-2</c:v>
                </c:pt>
                <c:pt idx="12">
                  <c:v>7.7298752756349478E-3</c:v>
                </c:pt>
                <c:pt idx="13">
                  <c:v>6.6619058834545284E-3</c:v>
                </c:pt>
                <c:pt idx="14">
                  <c:v>2.5443313970485822E-2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FB-4D49-8979-05B7FAA83C3D}"/>
            </c:ext>
          </c:extLst>
        </c:ser>
        <c:ser>
          <c:idx val="5"/>
          <c:order val="5"/>
          <c:tx>
            <c:strRef>
              <c:f>'Results Biogas - membrane (GF)'!$S$80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Biogas - membrane (GF)'!$S$81:$S$95</c:f>
              <c:numCache>
                <c:formatCode>0%</c:formatCode>
                <c:ptCount val="15"/>
                <c:pt idx="0">
                  <c:v>0.1954464717980911</c:v>
                </c:pt>
                <c:pt idx="1">
                  <c:v>5.9367460880901876E-2</c:v>
                </c:pt>
                <c:pt idx="2">
                  <c:v>0.25953860168220494</c:v>
                </c:pt>
                <c:pt idx="3">
                  <c:v>0.25932449731461243</c:v>
                </c:pt>
                <c:pt idx="4">
                  <c:v>0.13937878152588909</c:v>
                </c:pt>
                <c:pt idx="5">
                  <c:v>5.471093517391578E-2</c:v>
                </c:pt>
                <c:pt idx="6">
                  <c:v>0.11671946660423375</c:v>
                </c:pt>
                <c:pt idx="7">
                  <c:v>4.4322362699661708E-2</c:v>
                </c:pt>
                <c:pt idx="8">
                  <c:v>0.27706514852330055</c:v>
                </c:pt>
                <c:pt idx="9">
                  <c:v>8.0614818330184232E-2</c:v>
                </c:pt>
                <c:pt idx="10">
                  <c:v>0.30690744913271162</c:v>
                </c:pt>
                <c:pt idx="11">
                  <c:v>0.16433869483102684</c:v>
                </c:pt>
                <c:pt idx="12">
                  <c:v>0.17070534769334142</c:v>
                </c:pt>
                <c:pt idx="13">
                  <c:v>0.19854198351677749</c:v>
                </c:pt>
                <c:pt idx="14">
                  <c:v>9.9273926077237659E-2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0FB-4D49-8979-05B7FAA83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2589263"/>
        <c:axId val="1862564271"/>
      </c:barChart>
      <c:catAx>
        <c:axId val="1422589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64271"/>
        <c:crosses val="autoZero"/>
        <c:auto val="1"/>
        <c:lblAlgn val="ctr"/>
        <c:lblOffset val="100"/>
        <c:noMultiLvlLbl val="0"/>
      </c:catAx>
      <c:valAx>
        <c:axId val="186256427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22589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Biogas - membrane (GF)'!$N$102</c:f>
              <c:strCache>
                <c:ptCount val="1"/>
                <c:pt idx="0">
                  <c:v>Biostimulant delivery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(GF)'!$L$103:$L$106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membrane (GF)'!$N$103:$N$106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69-4E25-A43E-0260F00E9E82}"/>
            </c:ext>
          </c:extLst>
        </c:ser>
        <c:ser>
          <c:idx val="1"/>
          <c:order val="1"/>
          <c:tx>
            <c:strRef>
              <c:f>'Results Biogas - membrane (GF)'!$O$102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(GF)'!$L$103:$L$106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membrane (GF)'!$O$103:$O$106</c:f>
              <c:numCache>
                <c:formatCode>0%</c:formatCode>
                <c:ptCount val="4"/>
                <c:pt idx="0">
                  <c:v>0.95818024900169241</c:v>
                </c:pt>
                <c:pt idx="1">
                  <c:v>0.91772124889849316</c:v>
                </c:pt>
                <c:pt idx="2">
                  <c:v>0.94008606414339602</c:v>
                </c:pt>
                <c:pt idx="3">
                  <c:v>0.94110234980262453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69-4E25-A43E-0260F00E9E82}"/>
            </c:ext>
          </c:extLst>
        </c:ser>
        <c:ser>
          <c:idx val="2"/>
          <c:order val="2"/>
          <c:tx>
            <c:strRef>
              <c:f>'Results Biogas - membrane (GF)'!$P$102</c:f>
              <c:strCache>
                <c:ptCount val="1"/>
                <c:pt idx="0">
                  <c:v>Final tank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(GF)'!$L$103:$L$106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membrane (GF)'!$P$103:$P$106</c:f>
              <c:numCache>
                <c:formatCode>0%</c:formatCode>
                <c:ptCount val="4"/>
                <c:pt idx="0">
                  <c:v>1.0835496273757457E-7</c:v>
                </c:pt>
                <c:pt idx="1">
                  <c:v>2.9430371085365473E-7</c:v>
                </c:pt>
                <c:pt idx="2">
                  <c:v>7.845084408520593E-11</c:v>
                </c:pt>
                <c:pt idx="3">
                  <c:v>4.2329917407440222E-4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69-4E25-A43E-0260F00E9E82}"/>
            </c:ext>
          </c:extLst>
        </c:ser>
        <c:ser>
          <c:idx val="3"/>
          <c:order val="3"/>
          <c:tx>
            <c:strRef>
              <c:f>'Results Biogas - membrane (GF)'!$Q$102</c:f>
              <c:strCache>
                <c:ptCount val="1"/>
                <c:pt idx="0">
                  <c:v>Transport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(GF)'!$L$103:$L$106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membrane (GF)'!$Q$103:$Q$106</c:f>
              <c:numCache>
                <c:formatCode>0%</c:formatCode>
                <c:ptCount val="4"/>
                <c:pt idx="0">
                  <c:v>4.1819642643344895E-2</c:v>
                </c:pt>
                <c:pt idx="1">
                  <c:v>8.227845679779594E-2</c:v>
                </c:pt>
                <c:pt idx="2">
                  <c:v>5.9913935778153057E-2</c:v>
                </c:pt>
                <c:pt idx="3">
                  <c:v>5.8474351023301147E-2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69-4E25-A43E-0260F00E9E82}"/>
            </c:ext>
          </c:extLst>
        </c:ser>
        <c:ser>
          <c:idx val="4"/>
          <c:order val="4"/>
          <c:tx>
            <c:strRef>
              <c:f>'Results Biogas - membrane (GF)'!$R$102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(GF)'!$L$103:$L$106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membrane (GF)'!$R$103:$R$106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4869-4E25-A43E-0260F00E9E82}"/>
            </c:ext>
          </c:extLst>
        </c:ser>
        <c:ser>
          <c:idx val="5"/>
          <c:order val="5"/>
          <c:tx>
            <c:strRef>
              <c:f>'Results Biogas - membrane (GF)'!$S$102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(GF)'!$L$103:$L$106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membrane (GF)'!$S$103:$S$106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5-4869-4E25-A43E-0260F00E9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Biogas - membrane (GF)'!$N$110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membrane (GF)'!$N$111:$N$114</c:f>
              <c:numCache>
                <c:formatCode>0%</c:formatCode>
                <c:ptCount val="4"/>
                <c:pt idx="0">
                  <c:v>0.72403286688384993</c:v>
                </c:pt>
                <c:pt idx="1">
                  <c:v>0.85176615256160448</c:v>
                </c:pt>
                <c:pt idx="2">
                  <c:v>0.82067808926583563</c:v>
                </c:pt>
                <c:pt idx="3">
                  <c:v>0.8680120174862187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65-49BD-A803-AE7BB5334DB8}"/>
            </c:ext>
          </c:extLst>
        </c:ser>
        <c:ser>
          <c:idx val="1"/>
          <c:order val="1"/>
          <c:tx>
            <c:strRef>
              <c:f>'Results Biogas - membrane (GF)'!$O$110</c:f>
              <c:strCache>
                <c:ptCount val="1"/>
                <c:pt idx="0">
                  <c:v>Phosphate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membrane (GF)'!$O$111:$O$114</c:f>
              <c:numCache>
                <c:formatCode>0%</c:formatCode>
                <c:ptCount val="4"/>
                <c:pt idx="0">
                  <c:v>0.26783771116306843</c:v>
                </c:pt>
                <c:pt idx="1">
                  <c:v>0.14673100147284227</c:v>
                </c:pt>
                <c:pt idx="2">
                  <c:v>0.14867794049651081</c:v>
                </c:pt>
                <c:pt idx="3">
                  <c:v>0.10246875410824964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65-49BD-A803-AE7BB5334DB8}"/>
            </c:ext>
          </c:extLst>
        </c:ser>
        <c:ser>
          <c:idx val="2"/>
          <c:order val="2"/>
          <c:tx>
            <c:strRef>
              <c:f>'Results Biogas - membrane (GF)'!$P$110</c:f>
              <c:strCache>
                <c:ptCount val="1"/>
                <c:pt idx="0">
                  <c:v>Enzyme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membrane (GF)'!$P$111:$P$114</c:f>
              <c:numCache>
                <c:formatCode>0%</c:formatCode>
                <c:ptCount val="4"/>
                <c:pt idx="0">
                  <c:v>5.5891147991745933E-4</c:v>
                </c:pt>
                <c:pt idx="1">
                  <c:v>1.9323652581710429E-5</c:v>
                </c:pt>
                <c:pt idx="2">
                  <c:v>6.5233843076482369E-3</c:v>
                </c:pt>
                <c:pt idx="3">
                  <c:v>4.5193242159908154E-3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65-49BD-A803-AE7BB5334DB8}"/>
            </c:ext>
          </c:extLst>
        </c:ser>
        <c:ser>
          <c:idx val="3"/>
          <c:order val="3"/>
          <c:tx>
            <c:strRef>
              <c:f>'Results Biogas - membrane (GF)'!$Q$110</c:f>
              <c:strCache>
                <c:ptCount val="1"/>
                <c:pt idx="0">
                  <c:v>Reactor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membrane (GF)'!$Q$111:$Q$114</c:f>
              <c:numCache>
                <c:formatCode>0%</c:formatCode>
                <c:ptCount val="4"/>
                <c:pt idx="0">
                  <c:v>1.8845802826302443E-8</c:v>
                </c:pt>
                <c:pt idx="1">
                  <c:v>5.3312158316877896E-8</c:v>
                </c:pt>
                <c:pt idx="2">
                  <c:v>1.3943727817826714E-11</c:v>
                </c:pt>
                <c:pt idx="3">
                  <c:v>7.5058059592377743E-5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65-49BD-A803-AE7BB5334DB8}"/>
            </c:ext>
          </c:extLst>
        </c:ser>
        <c:ser>
          <c:idx val="4"/>
          <c:order val="4"/>
          <c:tx>
            <c:strRef>
              <c:f>'Results Biogas - membrane (GF)'!$R$110</c:f>
              <c:strCache>
                <c:ptCount val="1"/>
                <c:pt idx="0">
                  <c:v>Steam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membrane (GF)'!$R$111:$R$114</c:f>
              <c:numCache>
                <c:formatCode>0%</c:formatCode>
                <c:ptCount val="4"/>
                <c:pt idx="0">
                  <c:v>2.9733683510129844E-3</c:v>
                </c:pt>
                <c:pt idx="1">
                  <c:v>2.6419519290427318E-4</c:v>
                </c:pt>
                <c:pt idx="2">
                  <c:v>2.0531503070036001E-2</c:v>
                </c:pt>
                <c:pt idx="3">
                  <c:v>2.0582149883962435E-2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65-49BD-A803-AE7BB5334DB8}"/>
            </c:ext>
          </c:extLst>
        </c:ser>
        <c:ser>
          <c:idx val="5"/>
          <c:order val="5"/>
          <c:tx>
            <c:strRef>
              <c:f>'Results Biogas - membrane (GF)'!$S$110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membrane (GF)'!$S$111:$S$114</c:f>
              <c:numCache>
                <c:formatCode>0%</c:formatCode>
                <c:ptCount val="4"/>
                <c:pt idx="0">
                  <c:v>4.5971232763484145E-3</c:v>
                </c:pt>
                <c:pt idx="1">
                  <c:v>1.2192738079090054E-3</c:v>
                </c:pt>
                <c:pt idx="2">
                  <c:v>3.5890828460259381E-3</c:v>
                </c:pt>
                <c:pt idx="3">
                  <c:v>4.3426962459861161E-3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65-49BD-A803-AE7BB5334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-0.1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Biogas - membrane (GF)'!$J$118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(GF)'!$H$119:$H$122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membrane (GF)'!$J$119:$J$122</c:f>
              <c:numCache>
                <c:formatCode>0%</c:formatCode>
                <c:ptCount val="4"/>
                <c:pt idx="0">
                  <c:v>0.98426419150239342</c:v>
                </c:pt>
                <c:pt idx="1">
                  <c:v>0.99645220745532226</c:v>
                </c:pt>
                <c:pt idx="2">
                  <c:v>0.9891610303835755</c:v>
                </c:pt>
                <c:pt idx="3">
                  <c:v>0.98760030314627323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83-4C4F-AFEE-F2A9CE2EFB84}"/>
            </c:ext>
          </c:extLst>
        </c:ser>
        <c:ser>
          <c:idx val="1"/>
          <c:order val="1"/>
          <c:tx>
            <c:strRef>
              <c:f>'Results Biogas - membrane (GF)'!$K$118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(GF)'!$H$119:$H$122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membrane (GF)'!$K$119:$K$122</c:f>
              <c:numCache>
                <c:formatCode>0%</c:formatCode>
                <c:ptCount val="4"/>
                <c:pt idx="0">
                  <c:v>1.5735808497606561E-2</c:v>
                </c:pt>
                <c:pt idx="1">
                  <c:v>3.5477925446777102E-3</c:v>
                </c:pt>
                <c:pt idx="2">
                  <c:v>1.0838969616424506E-2</c:v>
                </c:pt>
                <c:pt idx="3">
                  <c:v>1.239969685372686E-2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83-4C4F-AFEE-F2A9CE2EF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Biogas - membrane (GF)'!$K$126</c:f>
              <c:strCache>
                <c:ptCount val="1"/>
                <c:pt idx="0">
                  <c:v>Biomass cultivation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(GF)'!$I$127:$I$130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membrane (GF)'!$K$127:$K$130</c:f>
              <c:numCache>
                <c:formatCode>0%</c:formatCode>
                <c:ptCount val="4"/>
                <c:pt idx="0">
                  <c:v>0.929793787855835</c:v>
                </c:pt>
                <c:pt idx="1">
                  <c:v>0.98329747988570004</c:v>
                </c:pt>
                <c:pt idx="2">
                  <c:v>0.94961403097488772</c:v>
                </c:pt>
                <c:pt idx="3">
                  <c:v>0.94187219771508424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9-47E1-B64D-C37B95E7598C}"/>
            </c:ext>
          </c:extLst>
        </c:ser>
        <c:ser>
          <c:idx val="1"/>
          <c:order val="1"/>
          <c:tx>
            <c:strRef>
              <c:f>'Results Biogas - membrane (GF)'!$L$126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(GF)'!$I$127:$I$130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membrane (GF)'!$L$127:$L$130</c:f>
              <c:numCache>
                <c:formatCode>0%</c:formatCode>
                <c:ptCount val="4"/>
                <c:pt idx="0">
                  <c:v>7.0206212144165128E-2</c:v>
                </c:pt>
                <c:pt idx="1">
                  <c:v>1.6702520114299964E-2</c:v>
                </c:pt>
                <c:pt idx="2">
                  <c:v>5.0385969025112311E-2</c:v>
                </c:pt>
                <c:pt idx="3">
                  <c:v>5.8127802284915799E-2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E9-47E1-B64D-C37B95E7598C}"/>
            </c:ext>
          </c:extLst>
        </c:ser>
        <c:ser>
          <c:idx val="2"/>
          <c:order val="2"/>
          <c:tx>
            <c:strRef>
              <c:f>'Results Biogas - membrane (GF)'!$M$126</c:f>
              <c:strCache>
                <c:ptCount val="1"/>
                <c:pt idx="0">
                  <c:v>Irrigation water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(GF)'!$I$127:$I$130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membrane (GF)'!$M$127:$M$130</c:f>
              <c:numCache>
                <c:formatCode>0%</c:formatCode>
                <c:ptCount val="4"/>
                <c:pt idx="0">
                  <c:v>-6.9796923960102383E-2</c:v>
                </c:pt>
                <c:pt idx="1">
                  <c:v>-6.3180670936387037E-3</c:v>
                </c:pt>
                <c:pt idx="2">
                  <c:v>-2.6007191613011418E-2</c:v>
                </c:pt>
                <c:pt idx="3">
                  <c:v>-1.9333845715517484E-2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E9-47E1-B64D-C37B95E75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-0.1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Biogas - membrane (GF)'!$N$134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membrane (GF)'!$N$135:$N$138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7-4431-8B32-1DAD6A539C32}"/>
            </c:ext>
          </c:extLst>
        </c:ser>
        <c:ser>
          <c:idx val="1"/>
          <c:order val="1"/>
          <c:tx>
            <c:strRef>
              <c:f>'Results Biogas - membrane (GF)'!$O$134</c:f>
              <c:strCache>
                <c:ptCount val="1"/>
                <c:pt idx="0">
                  <c:v>Pig manure (transport)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membrane (GF)'!$O$135:$O$138</c:f>
              <c:numCache>
                <c:formatCode>0%</c:formatCode>
                <c:ptCount val="4"/>
                <c:pt idx="0">
                  <c:v>0.51108055807252895</c:v>
                </c:pt>
                <c:pt idx="1">
                  <c:v>0.88431767361350633</c:v>
                </c:pt>
                <c:pt idx="2">
                  <c:v>0.67102252477795055</c:v>
                </c:pt>
                <c:pt idx="3">
                  <c:v>0.62880581094243659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7-4431-8B32-1DAD6A539C32}"/>
            </c:ext>
          </c:extLst>
        </c:ser>
        <c:ser>
          <c:idx val="2"/>
          <c:order val="2"/>
          <c:tx>
            <c:strRef>
              <c:f>'Results Biogas - membrane (GF)'!$P$134</c:f>
              <c:strCache>
                <c:ptCount val="1"/>
                <c:pt idx="0">
                  <c:v>CO2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membrane (GF)'!$P$135:$P$138</c:f>
              <c:numCache>
                <c:formatCode>0%</c:formatCode>
                <c:ptCount val="4"/>
                <c:pt idx="0">
                  <c:v>0.12634094332665421</c:v>
                </c:pt>
                <c:pt idx="1">
                  <c:v>2.8376692251170035E-2</c:v>
                </c:pt>
                <c:pt idx="2">
                  <c:v>8.8823212817428138E-2</c:v>
                </c:pt>
                <c:pt idx="3">
                  <c:v>0.10317729151379416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57-4431-8B32-1DAD6A539C32}"/>
            </c:ext>
          </c:extLst>
        </c:ser>
        <c:ser>
          <c:idx val="3"/>
          <c:order val="3"/>
          <c:tx>
            <c:strRef>
              <c:f>'Results Biogas - membrane (GF)'!$Q$134</c:f>
              <c:strCache>
                <c:ptCount val="1"/>
                <c:pt idx="0">
                  <c:v>Water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membrane (GF)'!$Q$135:$Q$138</c:f>
              <c:numCache>
                <c:formatCode>0%</c:formatCode>
                <c:ptCount val="4"/>
                <c:pt idx="0">
                  <c:v>9.8420166529940234E-2</c:v>
                </c:pt>
                <c:pt idx="1">
                  <c:v>2.8655082236674539E-2</c:v>
                </c:pt>
                <c:pt idx="2">
                  <c:v>6.1719039435644968E-2</c:v>
                </c:pt>
                <c:pt idx="3">
                  <c:v>6.2776911607195451E-2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57-4431-8B32-1DAD6A539C32}"/>
            </c:ext>
          </c:extLst>
        </c:ser>
        <c:ser>
          <c:idx val="4"/>
          <c:order val="4"/>
          <c:tx>
            <c:strRef>
              <c:f>'Results Biogas - membrane (GF)'!$R$134</c:f>
              <c:strCache>
                <c:ptCount val="1"/>
                <c:pt idx="0">
                  <c:v>Thin-layer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membrane (GF)'!$R$135:$R$138</c:f>
              <c:numCache>
                <c:formatCode>0%</c:formatCode>
                <c:ptCount val="4"/>
                <c:pt idx="0">
                  <c:v>2.1223563443448137E-2</c:v>
                </c:pt>
                <c:pt idx="1">
                  <c:v>4.0016159997966544E-3</c:v>
                </c:pt>
                <c:pt idx="2">
                  <c:v>7.7298752756349478E-3</c:v>
                </c:pt>
                <c:pt idx="3">
                  <c:v>6.6869361602826718E-3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57-4431-8B32-1DAD6A539C32}"/>
            </c:ext>
          </c:extLst>
        </c:ser>
        <c:ser>
          <c:idx val="5"/>
          <c:order val="5"/>
          <c:tx>
            <c:strRef>
              <c:f>'Results Biogas - membrane (GF)'!$S$134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(GF)'!$L$135:$L$138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Biogas - membrane (GF)'!$S$135:$S$138</c:f>
              <c:numCache>
                <c:formatCode>0%</c:formatCode>
                <c:ptCount val="4"/>
                <c:pt idx="0">
                  <c:v>0.24293476862742858</c:v>
                </c:pt>
                <c:pt idx="1">
                  <c:v>5.4648935898852329E-2</c:v>
                </c:pt>
                <c:pt idx="2">
                  <c:v>0.17070534769334142</c:v>
                </c:pt>
                <c:pt idx="3">
                  <c:v>0.19855304977629115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57-4431-8B32-1DAD6A539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Biogas - membrane (GF)'!$AF$4</c:f>
              <c:strCache>
                <c:ptCount val="1"/>
                <c:pt idx="0">
                  <c:v>Biostimulant delivery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Biogas - membrane (GF)'!$AF$7,'Results Biogas - membrane (GF)'!$AF$10,'Results Biogas - membrane (GF)'!$AF$13,'Results Biogas - membrane (GF)'!$AF$16)</c:f>
              <c:numCache>
                <c:formatCode>0.00%</c:formatCode>
                <c:ptCount val="4"/>
                <c:pt idx="0">
                  <c:v>6.0324448997050563E-2</c:v>
                </c:pt>
                <c:pt idx="1">
                  <c:v>4.1805613941650152E-2</c:v>
                </c:pt>
                <c:pt idx="2">
                  <c:v>8.0070339736559387E-2</c:v>
                </c:pt>
                <c:pt idx="3">
                  <c:v>5.8795772300911597E-2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08-4BF1-919E-23B8F5A1EEC6}"/>
            </c:ext>
          </c:extLst>
        </c:ser>
        <c:ser>
          <c:idx val="1"/>
          <c:order val="1"/>
          <c:tx>
            <c:strRef>
              <c:f>'Results Biogas - membrane (GF)'!$AG$4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Biogas - membrane (GF)'!$AG$7,'Results Biogas - membrane (GF)'!$AG$10,'Results Biogas - membrane (GF)'!$AG$13,'Results Biogas - membrane (GF)'!$AG$16)</c:f>
              <c:numCache>
                <c:formatCode>0.00%</c:formatCode>
                <c:ptCount val="4"/>
                <c:pt idx="0">
                  <c:v>0.16850441527602766</c:v>
                </c:pt>
                <c:pt idx="1">
                  <c:v>0.2644301576885123</c:v>
                </c:pt>
                <c:pt idx="2">
                  <c:v>0.13636471291354596</c:v>
                </c:pt>
                <c:pt idx="3">
                  <c:v>0.12422764714744425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08-4BF1-919E-23B8F5A1EEC6}"/>
            </c:ext>
          </c:extLst>
        </c:ser>
        <c:ser>
          <c:idx val="2"/>
          <c:order val="2"/>
          <c:tx>
            <c:strRef>
              <c:f>'Results Biogas - membrane (GF)'!$AH$4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Biogas - membrane (GF)'!$AH$7,'Results Biogas - membrane (GF)'!$AH$10,'Results Biogas - membrane (GF)'!$AH$13,'Results Biogas - membrane (GF)'!$AH$16)</c:f>
              <c:numCache>
                <c:formatCode>0.00%</c:formatCode>
                <c:ptCount val="4"/>
                <c:pt idx="0">
                  <c:v>8.3587005092076345E-3</c:v>
                </c:pt>
                <c:pt idx="1">
                  <c:v>1.0916941040117518E-2</c:v>
                </c:pt>
                <c:pt idx="2">
                  <c:v>2.7799258784787333E-3</c:v>
                </c:pt>
                <c:pt idx="3">
                  <c:v>1.0130261935434773E-2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08-4BF1-919E-23B8F5A1EEC6}"/>
            </c:ext>
          </c:extLst>
        </c:ser>
        <c:ser>
          <c:idx val="3"/>
          <c:order val="3"/>
          <c:tx>
            <c:strRef>
              <c:f>'Results Biogas - membrane (GF)'!$AI$4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Biogas - membrane (GF)'!$AI$7,'Results Biogas - membrane (GF)'!$AI$10,'Results Biogas - membrane (GF)'!$AI$13,'Results Biogas - membrane (GF)'!$AI$16)</c:f>
              <c:numCache>
                <c:formatCode>0.00%</c:formatCode>
                <c:ptCount val="4"/>
                <c:pt idx="0">
                  <c:v>1.9092989604463775E-2</c:v>
                </c:pt>
                <c:pt idx="1">
                  <c:v>3.0045194799101818E-4</c:v>
                </c:pt>
                <c:pt idx="2">
                  <c:v>8.159578136830159E-3</c:v>
                </c:pt>
                <c:pt idx="3">
                  <c:v>3.1917855944986612E-2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08-4BF1-919E-23B8F5A1EEC6}"/>
            </c:ext>
          </c:extLst>
        </c:ser>
        <c:ser>
          <c:idx val="4"/>
          <c:order val="4"/>
          <c:tx>
            <c:strRef>
              <c:f>'Results Biogas - membrane (GF)'!$AJ$4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Biogas - membrane (GF)'!$AJ$7,'Results Biogas - membrane (GF)'!$AJ$10,'Results Biogas - membrane (GF)'!$AJ$13,'Results Biogas - membrane (GF)'!$AJ$16)</c:f>
              <c:numCache>
                <c:formatCode>0.00%</c:formatCode>
                <c:ptCount val="4"/>
                <c:pt idx="0">
                  <c:v>0.74371944561325032</c:v>
                </c:pt>
                <c:pt idx="1">
                  <c:v>0.682546835381729</c:v>
                </c:pt>
                <c:pt idx="2">
                  <c:v>0.77262544333458583</c:v>
                </c:pt>
                <c:pt idx="3">
                  <c:v>0.77492846267122273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08-4BF1-919E-23B8F5A1E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5537487"/>
        <c:axId val="1664588207"/>
      </c:barChart>
      <c:catAx>
        <c:axId val="83553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4588207"/>
        <c:crosses val="autoZero"/>
        <c:auto val="1"/>
        <c:lblAlgn val="ctr"/>
        <c:lblOffset val="100"/>
        <c:noMultiLvlLbl val="0"/>
      </c:catAx>
      <c:valAx>
        <c:axId val="16645882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553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SimaPro (GF)'!$N$80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SimaPro (GF)'!$N$81:$N$95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0.17397135732102814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A2-4BE3-8FFC-60563AB1ED63}"/>
            </c:ext>
          </c:extLst>
        </c:ser>
        <c:ser>
          <c:idx val="1"/>
          <c:order val="1"/>
          <c:tx>
            <c:strRef>
              <c:f>'Results SimaPro (GF)'!$O$80</c:f>
              <c:strCache>
                <c:ptCount val="1"/>
                <c:pt idx="0">
                  <c:v>Pig manure (transport)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SimaPro (GF)'!$O$81:$O$95</c:f>
              <c:numCache>
                <c:formatCode>0%</c:formatCode>
                <c:ptCount val="15"/>
                <c:pt idx="0">
                  <c:v>0.34341881307136907</c:v>
                </c:pt>
                <c:pt idx="1">
                  <c:v>0.65271967721479851</c:v>
                </c:pt>
                <c:pt idx="2">
                  <c:v>0.45370254786447417</c:v>
                </c:pt>
                <c:pt idx="3">
                  <c:v>0.50898382088821759</c:v>
                </c:pt>
                <c:pt idx="4">
                  <c:v>0.70280634526951813</c:v>
                </c:pt>
                <c:pt idx="5">
                  <c:v>0.77389325011666643</c:v>
                </c:pt>
                <c:pt idx="6">
                  <c:v>0.66909175904783125</c:v>
                </c:pt>
                <c:pt idx="7">
                  <c:v>0.84085178514059622</c:v>
                </c:pt>
                <c:pt idx="8">
                  <c:v>0.44380651303055951</c:v>
                </c:pt>
                <c:pt idx="9">
                  <c:v>0.74220631073933585</c:v>
                </c:pt>
                <c:pt idx="10">
                  <c:v>0.39029277730233114</c:v>
                </c:pt>
                <c:pt idx="11">
                  <c:v>0.38124042040594691</c:v>
                </c:pt>
                <c:pt idx="12">
                  <c:v>0.56655907795142291</c:v>
                </c:pt>
                <c:pt idx="13">
                  <c:v>0.55529022602372802</c:v>
                </c:pt>
                <c:pt idx="14">
                  <c:v>0.28576626470203109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A2-4BE3-8FFC-60563AB1ED63}"/>
            </c:ext>
          </c:extLst>
        </c:ser>
        <c:ser>
          <c:idx val="2"/>
          <c:order val="2"/>
          <c:tx>
            <c:strRef>
              <c:f>'Results SimaPro (GF)'!$P$80</c:f>
              <c:strCache>
                <c:ptCount val="1"/>
                <c:pt idx="0">
                  <c:v>CO2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SimaPro (GF)'!$P$81:$P$95</c:f>
              <c:numCache>
                <c:formatCode>0%</c:formatCode>
                <c:ptCount val="15"/>
                <c:pt idx="0">
                  <c:v>0.25738459632889116</c:v>
                </c:pt>
                <c:pt idx="1">
                  <c:v>0.19328811504085669</c:v>
                </c:pt>
                <c:pt idx="2">
                  <c:v>0.22981711500040106</c:v>
                </c:pt>
                <c:pt idx="3">
                  <c:v>0.18081449824674453</c:v>
                </c:pt>
                <c:pt idx="4">
                  <c:v>0.12949426538573769</c:v>
                </c:pt>
                <c:pt idx="5">
                  <c:v>0.11074587190581067</c:v>
                </c:pt>
                <c:pt idx="6">
                  <c:v>0.17553358860139037</c:v>
                </c:pt>
                <c:pt idx="7">
                  <c:v>9.4082347146703119E-2</c:v>
                </c:pt>
                <c:pt idx="8">
                  <c:v>0.22434602847761939</c:v>
                </c:pt>
                <c:pt idx="9">
                  <c:v>0.14898685168526063</c:v>
                </c:pt>
                <c:pt idx="10">
                  <c:v>0.25191716667966113</c:v>
                </c:pt>
                <c:pt idx="11">
                  <c:v>0.43957342647808839</c:v>
                </c:pt>
                <c:pt idx="12">
                  <c:v>0.23415886036750719</c:v>
                </c:pt>
                <c:pt idx="13">
                  <c:v>0.20637873720482561</c:v>
                </c:pt>
                <c:pt idx="14">
                  <c:v>0.62151943365613926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A2-4BE3-8FFC-60563AB1ED63}"/>
            </c:ext>
          </c:extLst>
        </c:ser>
        <c:ser>
          <c:idx val="3"/>
          <c:order val="3"/>
          <c:tx>
            <c:strRef>
              <c:f>'Results SimaPro (GF)'!$Q$80</c:f>
              <c:strCache>
                <c:ptCount val="1"/>
                <c:pt idx="0">
                  <c:v>Water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SimaPro (GF)'!$Q$81:$Q$95</c:f>
              <c:numCache>
                <c:formatCode>0%</c:formatCode>
                <c:ptCount val="15"/>
                <c:pt idx="0">
                  <c:v>0.23273367290469438</c:v>
                </c:pt>
                <c:pt idx="1">
                  <c:v>9.5716687674725812E-2</c:v>
                </c:pt>
                <c:pt idx="2">
                  <c:v>7.8471893189595937E-2</c:v>
                </c:pt>
                <c:pt idx="3">
                  <c:v>6.3651356884894358E-2</c:v>
                </c:pt>
                <c:pt idx="4">
                  <c:v>3.5843123608745427E-2</c:v>
                </c:pt>
                <c:pt idx="5">
                  <c:v>5.8115304850825028E-2</c:v>
                </c:pt>
                <c:pt idx="6">
                  <c:v>4.6224167002055033E-2</c:v>
                </c:pt>
                <c:pt idx="7">
                  <c:v>2.3790685492134356E-2</c:v>
                </c:pt>
                <c:pt idx="8">
                  <c:v>7.3325044922791419E-2</c:v>
                </c:pt>
                <c:pt idx="9">
                  <c:v>3.6934976905425319E-2</c:v>
                </c:pt>
                <c:pt idx="10">
                  <c:v>7.5357033144560506E-2</c:v>
                </c:pt>
                <c:pt idx="11">
                  <c:v>7.7216756924023647E-2</c:v>
                </c:pt>
                <c:pt idx="12">
                  <c:v>5.2110742610730815E-2</c:v>
                </c:pt>
                <c:pt idx="13">
                  <c:v>5.5312629520736442E-2</c:v>
                </c:pt>
                <c:pt idx="14">
                  <c:v>5.1983986270766072E-2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A2-4BE3-8FFC-60563AB1ED63}"/>
            </c:ext>
          </c:extLst>
        </c:ser>
        <c:ser>
          <c:idx val="4"/>
          <c:order val="4"/>
          <c:tx>
            <c:strRef>
              <c:f>'Results SimaPro (GF)'!$R$80</c:f>
              <c:strCache>
                <c:ptCount val="1"/>
                <c:pt idx="0">
                  <c:v>Thin-layer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SimaPro (GF)'!$R$81:$R$95</c:f>
              <c:numCache>
                <c:formatCode>0%</c:formatCode>
                <c:ptCount val="15"/>
                <c:pt idx="0">
                  <c:v>7.0418276474496606E-5</c:v>
                </c:pt>
                <c:pt idx="1">
                  <c:v>5.316586463299083E-3</c:v>
                </c:pt>
                <c:pt idx="2">
                  <c:v>3.1377901713959193E-3</c:v>
                </c:pt>
                <c:pt idx="3">
                  <c:v>0</c:v>
                </c:pt>
                <c:pt idx="4">
                  <c:v>5.8961059828454643E-4</c:v>
                </c:pt>
                <c:pt idx="5">
                  <c:v>7.2231331354678284E-3</c:v>
                </c:pt>
                <c:pt idx="6">
                  <c:v>6.776510519647937E-3</c:v>
                </c:pt>
                <c:pt idx="7">
                  <c:v>4.7965025543167669E-6</c:v>
                </c:pt>
                <c:pt idx="8">
                  <c:v>3.3462779026811099E-3</c:v>
                </c:pt>
                <c:pt idx="9">
                  <c:v>0</c:v>
                </c:pt>
                <c:pt idx="10">
                  <c:v>6.1044630528792661E-3</c:v>
                </c:pt>
                <c:pt idx="11">
                  <c:v>1.3560524869115378E-4</c:v>
                </c:pt>
                <c:pt idx="12">
                  <c:v>2.9628424435358541E-3</c:v>
                </c:pt>
                <c:pt idx="13">
                  <c:v>7.6814825578181692E-3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A2-4BE3-8FFC-60563AB1ED63}"/>
            </c:ext>
          </c:extLst>
        </c:ser>
        <c:ser>
          <c:idx val="5"/>
          <c:order val="5"/>
          <c:tx>
            <c:strRef>
              <c:f>'Results SimaPro (GF)'!$S$80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(GF)'!$L$81:$L$95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'Results SimaPro (GF)'!$S$81:$S$95</c:f>
              <c:numCache>
                <c:formatCode>0%</c:formatCode>
                <c:ptCount val="15"/>
                <c:pt idx="0">
                  <c:v>0.16639249941857079</c:v>
                </c:pt>
                <c:pt idx="1">
                  <c:v>5.2958933606319862E-2</c:v>
                </c:pt>
                <c:pt idx="2">
                  <c:v>0.23487065377413296</c:v>
                </c:pt>
                <c:pt idx="3">
                  <c:v>0.24655032398014354</c:v>
                </c:pt>
                <c:pt idx="4">
                  <c:v>0.13126665513771427</c:v>
                </c:pt>
                <c:pt idx="5">
                  <c:v>5.002243999122985E-2</c:v>
                </c:pt>
                <c:pt idx="6">
                  <c:v>0.10237397482907537</c:v>
                </c:pt>
                <c:pt idx="7">
                  <c:v>4.1270385718012018E-2</c:v>
                </c:pt>
                <c:pt idx="8">
                  <c:v>0.25517613566634856</c:v>
                </c:pt>
                <c:pt idx="9">
                  <c:v>7.1871860669978235E-2</c:v>
                </c:pt>
                <c:pt idx="10">
                  <c:v>0.27632855982056792</c:v>
                </c:pt>
                <c:pt idx="11">
                  <c:v>0.10183379094325008</c:v>
                </c:pt>
                <c:pt idx="12">
                  <c:v>0.14420847662680306</c:v>
                </c:pt>
                <c:pt idx="13">
                  <c:v>0.17533692469289189</c:v>
                </c:pt>
                <c:pt idx="14">
                  <c:v>4.0730315371063537E-2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A2-4BE3-8FFC-60563AB1E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2589263"/>
        <c:axId val="1862564271"/>
      </c:barChart>
      <c:catAx>
        <c:axId val="1422589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2564271"/>
        <c:crosses val="autoZero"/>
        <c:auto val="1"/>
        <c:lblAlgn val="ctr"/>
        <c:lblOffset val="100"/>
        <c:noMultiLvlLbl val="0"/>
      </c:catAx>
      <c:valAx>
        <c:axId val="186256427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22589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Biogas - membrane (GF)'!$AN$4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Biogas - membrane (GF)'!$AN$7,'Results Biogas - membrane (GF)'!$AN$10,'Results Biogas - membrane (GF)'!$AN$13,'Results Biogas - membrane (GF)'!$AN$16)</c:f>
              <c:numCache>
                <c:formatCode>0.0%</c:formatCode>
                <c:ptCount val="4"/>
                <c:pt idx="0">
                  <c:v>0.17932191073416437</c:v>
                </c:pt>
                <c:pt idx="1">
                  <c:v>0.27596713311615007</c:v>
                </c:pt>
                <c:pt idx="2">
                  <c:v>0.14823384743839554</c:v>
                </c:pt>
                <c:pt idx="3">
                  <c:v>0.1319879825137813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F2-4ABE-A046-4F820298F40F}"/>
            </c:ext>
          </c:extLst>
        </c:ser>
        <c:ser>
          <c:idx val="1"/>
          <c:order val="1"/>
          <c:tx>
            <c:strRef>
              <c:f>'Results Biogas - membrane (GF)'!$AO$4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Biogas - membrane (GF)'!$AO$7,'Results Biogas - membrane (GF)'!$AO$10,'Results Biogas - membrane (GF)'!$AO$13,'Results Biogas - membrane (GF)'!$AO$16)</c:f>
              <c:numCache>
                <c:formatCode>0.0%</c:formatCode>
                <c:ptCount val="4"/>
                <c:pt idx="0">
                  <c:v>8.8953048744176682E-3</c:v>
                </c:pt>
                <c:pt idx="1">
                  <c:v>1.1393242539257307E-2</c:v>
                </c:pt>
                <c:pt idx="2">
                  <c:v>3.0218896058669012E-3</c:v>
                </c:pt>
                <c:pt idx="3">
                  <c:v>1.0763085882220915E-2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F2-4ABE-A046-4F820298F40F}"/>
            </c:ext>
          </c:extLst>
        </c:ser>
        <c:ser>
          <c:idx val="2"/>
          <c:order val="2"/>
          <c:tx>
            <c:strRef>
              <c:f>'Results Biogas - membrane (GF)'!$AP$4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Biogas - membrane (GF)'!$AP$7,'Results Biogas - membrane (GF)'!$AP$10,'Results Biogas - membrane (GF)'!$AP$13,'Results Biogas - membrane (GF)'!$AP$16)</c:f>
              <c:numCache>
                <c:formatCode>0.0%</c:formatCode>
                <c:ptCount val="4"/>
                <c:pt idx="0">
                  <c:v>2.0318704242209145E-2</c:v>
                </c:pt>
                <c:pt idx="1">
                  <c:v>3.1356053882433709E-4</c:v>
                </c:pt>
                <c:pt idx="2">
                  <c:v>8.869784820823708E-3</c:v>
                </c:pt>
                <c:pt idx="3">
                  <c:v>3.3911721819412668E-2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F2-4ABE-A046-4F820298F40F}"/>
            </c:ext>
          </c:extLst>
        </c:ser>
        <c:ser>
          <c:idx val="3"/>
          <c:order val="3"/>
          <c:tx>
            <c:strRef>
              <c:f>'Results Biogas - membrane (GF)'!$AQ$4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(GF)'!$AS$25:$AS$28</c:f>
              <c:strCache>
                <c:ptCount val="4"/>
                <c:pt idx="0">
                  <c:v>Global warming</c:v>
                </c:pt>
                <c:pt idx="1">
                  <c:v>Human health</c:v>
                </c:pt>
                <c:pt idx="2">
                  <c:v>Ecosystem quality</c:v>
                </c:pt>
                <c:pt idx="3">
                  <c:v>Resources</c:v>
                </c:pt>
              </c:strCache>
            </c:strRef>
          </c:cat>
          <c:val>
            <c:numRef>
              <c:f>('Results Biogas - membrane (GF)'!$AQ$7,'Results Biogas - membrane (GF)'!$AQ$10,'Results Biogas - membrane (GF)'!$AQ$13,'Results Biogas - membrane (GF)'!$AQ$16)</c:f>
              <c:numCache>
                <c:formatCode>0.0%</c:formatCode>
                <c:ptCount val="4"/>
                <c:pt idx="0">
                  <c:v>0.79146408014920877</c:v>
                </c:pt>
                <c:pt idx="1">
                  <c:v>0.71232606380576835</c:v>
                </c:pt>
                <c:pt idx="2">
                  <c:v>0.83987447813491389</c:v>
                </c:pt>
                <c:pt idx="3">
                  <c:v>0.82333720978458513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F2-4ABE-A046-4F820298F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5537487"/>
        <c:axId val="1664588207"/>
      </c:barChart>
      <c:catAx>
        <c:axId val="83553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4588207"/>
        <c:crosses val="autoZero"/>
        <c:auto val="1"/>
        <c:lblAlgn val="ctr"/>
        <c:lblOffset val="100"/>
        <c:noMultiLvlLbl val="0"/>
      </c:catAx>
      <c:valAx>
        <c:axId val="16645882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553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Biogas - membrane (GF)'!$AN$35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(GF)'!$B$62:$B$76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Biogas - membrane (GF)'!$AN$38,'Results Biogas - membrane (GF)'!$AN$41,'Results Biogas - membrane (GF)'!$AN$44,'Results Biogas - membrane (GF)'!$AN$47,'Results Biogas - membrane (GF)'!$AN$50,'Results Biogas - membrane (GF)'!$AN$53,'Results Biogas - membrane (GF)'!$AN$56,'Results Biogas - membrane (GF)'!$AN$59,'Results Biogas - membrane (GF)'!$AN$62,'Results Biogas - membrane (GF)'!$AN$65,'Results Biogas - membrane (GF)'!$AN$68,'Results Biogas - membrane (GF)'!$AN$71,'Results Biogas - membrane (GF)'!$AN$74,'Results Biogas - membrane (GF)'!$AN$77,'Results Biogas - membrane (GF)'!$AN$80)</c:f>
              <c:numCache>
                <c:formatCode>0.0%</c:formatCode>
                <c:ptCount val="15"/>
                <c:pt idx="0">
                  <c:v>0.20282518764281118</c:v>
                </c:pt>
                <c:pt idx="1">
                  <c:v>0.47865395693365359</c:v>
                </c:pt>
                <c:pt idx="2">
                  <c:v>0.25949026216558901</c:v>
                </c:pt>
                <c:pt idx="3">
                  <c:v>4.8781815735590393E-2</c:v>
                </c:pt>
                <c:pt idx="4">
                  <c:v>9.7610134498851045E-2</c:v>
                </c:pt>
                <c:pt idx="5">
                  <c:v>0.12910913447807731</c:v>
                </c:pt>
                <c:pt idx="6">
                  <c:v>0.17160847848317692</c:v>
                </c:pt>
                <c:pt idx="7">
                  <c:v>9.6828404478941199E-2</c:v>
                </c:pt>
                <c:pt idx="8">
                  <c:v>0.25790428940232557</c:v>
                </c:pt>
                <c:pt idx="9">
                  <c:v>0.47041148854657877</c:v>
                </c:pt>
                <c:pt idx="10">
                  <c:v>0.29328776690152197</c:v>
                </c:pt>
                <c:pt idx="11">
                  <c:v>0.71013932539319358</c:v>
                </c:pt>
                <c:pt idx="12">
                  <c:v>0.17932191073416437</c:v>
                </c:pt>
                <c:pt idx="13">
                  <c:v>0.13115806747907297</c:v>
                </c:pt>
                <c:pt idx="14">
                  <c:v>0.52055834674916912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4-42CD-BC7A-2C1C213594BE}"/>
            </c:ext>
          </c:extLst>
        </c:ser>
        <c:ser>
          <c:idx val="1"/>
          <c:order val="1"/>
          <c:tx>
            <c:strRef>
              <c:f>'Results Biogas - membrane (GF)'!$AO$35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(GF)'!$B$62:$B$76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Biogas - membrane (GF)'!$AO$38,'Results Biogas - membrane (GF)'!$AO$41,'Results Biogas - membrane (GF)'!$AO$44,'Results Biogas - membrane (GF)'!$AO$47,'Results Biogas - membrane (GF)'!$AO$50,'Results Biogas - membrane (GF)'!$AO$53,'Results Biogas - membrane (GF)'!$AO$56,'Results Biogas - membrane (GF)'!$AO$59,'Results Biogas - membrane (GF)'!$AO$62,'Results Biogas - membrane (GF)'!$AO$65,'Results Biogas - membrane (GF)'!$AO$68,'Results Biogas - membrane (GF)'!$AO$71,'Results Biogas - membrane (GF)'!$AO$74,'Results Biogas - membrane (GF)'!$AO$77,'Results Biogas - membrane (GF)'!$AO$80)</c:f>
              <c:numCache>
                <c:formatCode>0.0%</c:formatCode>
                <c:ptCount val="15"/>
                <c:pt idx="0">
                  <c:v>9.9558781571514165E-3</c:v>
                </c:pt>
                <c:pt idx="1">
                  <c:v>2.0208469406937119E-3</c:v>
                </c:pt>
                <c:pt idx="2">
                  <c:v>1.2462146521039281E-2</c:v>
                </c:pt>
                <c:pt idx="3">
                  <c:v>1.4929397774185981E-2</c:v>
                </c:pt>
                <c:pt idx="4">
                  <c:v>7.9266265222355456E-3</c:v>
                </c:pt>
                <c:pt idx="5">
                  <c:v>3.0992202853500983E-3</c:v>
                </c:pt>
                <c:pt idx="6">
                  <c:v>6.1732453958823867E-3</c:v>
                </c:pt>
                <c:pt idx="7">
                  <c:v>2.6051017971790661E-3</c:v>
                </c:pt>
                <c:pt idx="8">
                  <c:v>1.2670091306459777E-2</c:v>
                </c:pt>
                <c:pt idx="9">
                  <c:v>2.7570212757230799E-3</c:v>
                </c:pt>
                <c:pt idx="10">
                  <c:v>1.3264179837632697E-2</c:v>
                </c:pt>
                <c:pt idx="11">
                  <c:v>3.067654250370179E-3</c:v>
                </c:pt>
                <c:pt idx="12">
                  <c:v>8.8953048744176682E-3</c:v>
                </c:pt>
                <c:pt idx="13">
                  <c:v>1.0772772279594292E-2</c:v>
                </c:pt>
                <c:pt idx="14">
                  <c:v>3.0599793213197859E-3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C4-42CD-BC7A-2C1C213594BE}"/>
            </c:ext>
          </c:extLst>
        </c:ser>
        <c:ser>
          <c:idx val="2"/>
          <c:order val="2"/>
          <c:tx>
            <c:strRef>
              <c:f>'Results Biogas - membrane (GF)'!$AP$35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(GF)'!$B$62:$B$76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Biogas - membrane (GF)'!$AP$38,'Results Biogas - membrane (GF)'!$AP$41,'Results Biogas - membrane (GF)'!$AP$44,'Results Biogas - membrane (GF)'!$AP$47,'Results Biogas - membrane (GF)'!$AP$50,'Results Biogas - membrane (GF)'!$AP$53,'Results Biogas - membrane (GF)'!$AP$56,'Results Biogas - membrane (GF)'!$AP$59,'Results Biogas - membrane (GF)'!$AP$62,'Results Biogas - membrane (GF)'!$AP$65,'Results Biogas - membrane (GF)'!$AP$68,'Results Biogas - membrane (GF)'!$AP$71,'Results Biogas - membrane (GF)'!$AP$74,'Results Biogas - membrane (GF)'!$AP$77,'Results Biogas - membrane (GF)'!$AP$80)</c:f>
              <c:numCache>
                <c:formatCode>0.0%</c:formatCode>
                <c:ptCount val="15"/>
                <c:pt idx="0">
                  <c:v>1.3524939783902032E-2</c:v>
                </c:pt>
                <c:pt idx="1">
                  <c:v>2.3109501125433011E-3</c:v>
                </c:pt>
                <c:pt idx="2">
                  <c:v>-1.2563339264904121E-3</c:v>
                </c:pt>
                <c:pt idx="3">
                  <c:v>6.1876508732677991E-2</c:v>
                </c:pt>
                <c:pt idx="4">
                  <c:v>3.0674184365865206E-2</c:v>
                </c:pt>
                <c:pt idx="5">
                  <c:v>7.395835422384112E-3</c:v>
                </c:pt>
                <c:pt idx="6">
                  <c:v>1.8899817943340044E-2</c:v>
                </c:pt>
                <c:pt idx="7">
                  <c:v>7.8382136907784259E-3</c:v>
                </c:pt>
                <c:pt idx="8">
                  <c:v>3.4856762336901451E-2</c:v>
                </c:pt>
                <c:pt idx="9">
                  <c:v>7.3826520272283758E-3</c:v>
                </c:pt>
                <c:pt idx="10">
                  <c:v>3.7014948399120257E-2</c:v>
                </c:pt>
                <c:pt idx="11">
                  <c:v>3.2761029913338812E-3</c:v>
                </c:pt>
                <c:pt idx="12">
                  <c:v>2.0318704242209145E-2</c:v>
                </c:pt>
                <c:pt idx="13">
                  <c:v>3.3945042993621659E-2</c:v>
                </c:pt>
                <c:pt idx="14">
                  <c:v>8.214692513008515E-3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C4-42CD-BC7A-2C1C213594BE}"/>
            </c:ext>
          </c:extLst>
        </c:ser>
        <c:ser>
          <c:idx val="3"/>
          <c:order val="3"/>
          <c:tx>
            <c:strRef>
              <c:f>'Results Biogas - membrane (GF)'!$AQ$35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(GF)'!$B$62:$B$76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Biogas - membrane (GF)'!$AQ$38,'Results Biogas - membrane (GF)'!$AQ$41,'Results Biogas - membrane (GF)'!$AQ$44,'Results Biogas - membrane (GF)'!$AQ$47,'Results Biogas - membrane (GF)'!$AQ$50,'Results Biogas - membrane (GF)'!$AQ$53,'Results Biogas - membrane (GF)'!$AQ$56,'Results Biogas - membrane (GF)'!$AQ$59,'Results Biogas - membrane (GF)'!$AQ$62,'Results Biogas - membrane (GF)'!$AQ$65,'Results Biogas - membrane (GF)'!$AQ$68,'Results Biogas - membrane (GF)'!$AQ$71,'Results Biogas - membrane (GF)'!$AQ$74,'Results Biogas - membrane (GF)'!$AQ$77,'Results Biogas - membrane (GF)'!$AQ$80)</c:f>
              <c:numCache>
                <c:formatCode>0.0%</c:formatCode>
                <c:ptCount val="15"/>
                <c:pt idx="0">
                  <c:v>0.7736939944161354</c:v>
                </c:pt>
                <c:pt idx="1">
                  <c:v>0.51701424601310941</c:v>
                </c:pt>
                <c:pt idx="2">
                  <c:v>0.72930392523986209</c:v>
                </c:pt>
                <c:pt idx="3">
                  <c:v>0.8744122777575456</c:v>
                </c:pt>
                <c:pt idx="4">
                  <c:v>0.86378905461304822</c:v>
                </c:pt>
                <c:pt idx="5">
                  <c:v>0.86039580981418851</c:v>
                </c:pt>
                <c:pt idx="6">
                  <c:v>0.80331845817760061</c:v>
                </c:pt>
                <c:pt idx="7">
                  <c:v>0.89272828003310134</c:v>
                </c:pt>
                <c:pt idx="8">
                  <c:v>0.69456885695431325</c:v>
                </c:pt>
                <c:pt idx="9">
                  <c:v>0.51944883815046983</c:v>
                </c:pt>
                <c:pt idx="10">
                  <c:v>0.65643310486172513</c:v>
                </c:pt>
                <c:pt idx="11">
                  <c:v>0.28351691736510243</c:v>
                </c:pt>
                <c:pt idx="12">
                  <c:v>0.79146408014920877</c:v>
                </c:pt>
                <c:pt idx="13">
                  <c:v>0.82412411724771106</c:v>
                </c:pt>
                <c:pt idx="14">
                  <c:v>0.46816698141650259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C4-42CD-BC7A-2C1C21359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5537487"/>
        <c:axId val="1664588207"/>
      </c:barChart>
      <c:catAx>
        <c:axId val="83553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4588207"/>
        <c:crosses val="autoZero"/>
        <c:auto val="1"/>
        <c:lblAlgn val="ctr"/>
        <c:lblOffset val="100"/>
        <c:noMultiLvlLbl val="0"/>
      </c:catAx>
      <c:valAx>
        <c:axId val="16645882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553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'Results Biogas - membrane (GF)'!$AF$35</c:f>
              <c:strCache>
                <c:ptCount val="1"/>
                <c:pt idx="0">
                  <c:v>Biostimulant delivery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(GF)'!$B$81:$B$95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Biogas - membrane (GF)'!$AF$38,'Results Biogas - membrane (GF)'!$AF$41,'Results Biogas - membrane (GF)'!$AF$44,'Results Biogas - membrane (GF)'!$AF$47,'Results Biogas - membrane (GF)'!$AF$50,'Results Biogas - membrane (GF)'!$AF$53,'Results Biogas - membrane (GF)'!$AF$56,'Results Biogas - membrane (GF)'!$AF$59,'Results Biogas - membrane (GF)'!$AF$62,'Results Biogas - membrane (GF)'!$AF$65,'Results Biogas - membrane (GF)'!$AF$68,'Results Biogas - membrane (GF)'!$AF$71,'Results Biogas - membrane (GF)'!$AF$74,'Results Biogas - membrane (GF)'!$AF$77,'Results Biogas - membrane (GF)'!$AF$80)</c:f>
              <c:numCache>
                <c:formatCode>0.0%</c:formatCode>
                <c:ptCount val="15"/>
                <c:pt idx="0">
                  <c:v>3.5729423102773272E-2</c:v>
                </c:pt>
                <c:pt idx="1">
                  <c:v>4.3494865966736955E-2</c:v>
                </c:pt>
                <c:pt idx="2">
                  <c:v>4.3293061491649909E-2</c:v>
                </c:pt>
                <c:pt idx="3">
                  <c:v>-0.39915907201570999</c:v>
                </c:pt>
                <c:pt idx="4">
                  <c:v>7.3119559416451457E-2</c:v>
                </c:pt>
                <c:pt idx="5">
                  <c:v>8.0189889924598148E-2</c:v>
                </c:pt>
                <c:pt idx="6">
                  <c:v>7.0711071191464803E-2</c:v>
                </c:pt>
                <c:pt idx="7">
                  <c:v>8.6969941159673686E-2</c:v>
                </c:pt>
                <c:pt idx="8">
                  <c:v>3.8264900364904007E-2</c:v>
                </c:pt>
                <c:pt idx="9">
                  <c:v>5.1425262824320174E-2</c:v>
                </c:pt>
                <c:pt idx="10">
                  <c:v>3.0231528136944248E-2</c:v>
                </c:pt>
                <c:pt idx="11">
                  <c:v>1.7209026847681233E-2</c:v>
                </c:pt>
                <c:pt idx="12">
                  <c:v>6.0324448997050563E-2</c:v>
                </c:pt>
                <c:pt idx="13">
                  <c:v>5.8104245104672846E-2</c:v>
                </c:pt>
                <c:pt idx="14">
                  <c:v>4.8851140337883139E-2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50-43CA-84E7-74CAF8699327}"/>
            </c:ext>
          </c:extLst>
        </c:ser>
        <c:ser>
          <c:idx val="1"/>
          <c:order val="1"/>
          <c:tx>
            <c:strRef>
              <c:f>'Results Biogas - membrane (GF)'!$AG$35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(GF)'!$B$81:$B$95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Biogas - membrane (GF)'!$AG$38,'Results Biogas - membrane (GF)'!$AG$41,'Results Biogas - membrane (GF)'!$AG$44,'Results Biogas - membrane (GF)'!$AG$47,'Results Biogas - membrane (GF)'!$AG$50,'Results Biogas - membrane (GF)'!$AG$53,'Results Biogas - membrane (GF)'!$AG$56,'Results Biogas - membrane (GF)'!$AG$59,'Results Biogas - membrane (GF)'!$AG$62,'Results Biogas - membrane (GF)'!$AG$65,'Results Biogas - membrane (GF)'!$AG$68,'Results Biogas - membrane (GF)'!$AG$71,'Results Biogas - membrane (GF)'!$AG$74,'Results Biogas - membrane (GF)'!$AG$77,'Results Biogas - membrane (GF)'!$AG$80)</c:f>
              <c:numCache>
                <c:formatCode>0.0%</c:formatCode>
                <c:ptCount val="15"/>
                <c:pt idx="0">
                  <c:v>0.19557836069762177</c:v>
                </c:pt>
                <c:pt idx="1">
                  <c:v>0.4578349672323761</c:v>
                </c:pt>
                <c:pt idx="2">
                  <c:v>0.24825613428916976</c:v>
                </c:pt>
                <c:pt idx="3">
                  <c:v>6.8253520035850057E-2</c:v>
                </c:pt>
                <c:pt idx="4">
                  <c:v>9.0472924469714444E-2</c:v>
                </c:pt>
                <c:pt idx="5">
                  <c:v>0.11875588719602012</c:v>
                </c:pt>
                <c:pt idx="6">
                  <c:v>0.15947385914409401</c:v>
                </c:pt>
                <c:pt idx="7">
                  <c:v>8.8407243838822619E-2</c:v>
                </c:pt>
                <c:pt idx="8">
                  <c:v>0.24803560746466422</c:v>
                </c:pt>
                <c:pt idx="9">
                  <c:v>0.44622045411249134</c:v>
                </c:pt>
                <c:pt idx="10">
                  <c:v>0.284421229524217</c:v>
                </c:pt>
                <c:pt idx="11">
                  <c:v>0.6979185186769078</c:v>
                </c:pt>
                <c:pt idx="12">
                  <c:v>0.16850441527602766</c:v>
                </c:pt>
                <c:pt idx="13">
                  <c:v>0.12353722697881357</c:v>
                </c:pt>
                <c:pt idx="14">
                  <c:v>0.49512847789806902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50-43CA-84E7-74CAF8699327}"/>
            </c:ext>
          </c:extLst>
        </c:ser>
        <c:ser>
          <c:idx val="2"/>
          <c:order val="2"/>
          <c:tx>
            <c:strRef>
              <c:f>'Results Biogas - membrane (GF)'!$AH$35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(GF)'!$B$81:$B$95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Biogas - membrane (GF)'!$AH$38,'Results Biogas - membrane (GF)'!$AH$41,'Results Biogas - membrane (GF)'!$AH$44,'Results Biogas - membrane (GF)'!$AH$47,'Results Biogas - membrane (GF)'!$AH$50,'Results Biogas - membrane (GF)'!$AH$53,'Results Biogas - membrane (GF)'!$AH$56,'Results Biogas - membrane (GF)'!$AH$59,'Results Biogas - membrane (GF)'!$AH$62,'Results Biogas - membrane (GF)'!$AH$65,'Results Biogas - membrane (GF)'!$AH$68,'Results Biogas - membrane (GF)'!$AH$71,'Results Biogas - membrane (GF)'!$AH$74,'Results Biogas - membrane (GF)'!$AH$77,'Results Biogas - membrane (GF)'!$AH$80)</c:f>
              <c:numCache>
                <c:formatCode>0.0%</c:formatCode>
                <c:ptCount val="15"/>
                <c:pt idx="0">
                  <c:v>9.6001603741149594E-3</c:v>
                </c:pt>
                <c:pt idx="1">
                  <c:v>1.9329504738689095E-3</c:v>
                </c:pt>
                <c:pt idx="2">
                  <c:v>1.1922622045386005E-2</c:v>
                </c:pt>
                <c:pt idx="3">
                  <c:v>2.088860233548346E-2</c:v>
                </c:pt>
                <c:pt idx="4">
                  <c:v>7.3470350832709214E-3</c:v>
                </c:pt>
                <c:pt idx="5">
                  <c:v>2.8506941518157683E-3</c:v>
                </c:pt>
                <c:pt idx="6">
                  <c:v>5.7367286012117184E-3</c:v>
                </c:pt>
                <c:pt idx="7">
                  <c:v>2.3785362471634959E-3</c:v>
                </c:pt>
                <c:pt idx="8">
                  <c:v>1.2185271525003856E-2</c:v>
                </c:pt>
                <c:pt idx="9">
                  <c:v>2.6152407320067525E-3</c:v>
                </c:pt>
                <c:pt idx="10">
                  <c:v>1.2863183411657795E-2</c:v>
                </c:pt>
                <c:pt idx="11">
                  <c:v>3.0148629060161468E-3</c:v>
                </c:pt>
                <c:pt idx="12">
                  <c:v>8.3587005092076345E-3</c:v>
                </c:pt>
                <c:pt idx="13">
                  <c:v>1.0146828478603943E-2</c:v>
                </c:pt>
                <c:pt idx="14">
                  <c:v>2.9104958420629835E-3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50-43CA-84E7-74CAF8699327}"/>
            </c:ext>
          </c:extLst>
        </c:ser>
        <c:ser>
          <c:idx val="3"/>
          <c:order val="3"/>
          <c:tx>
            <c:strRef>
              <c:f>'Results Biogas - membrane (GF)'!$AI$35</c:f>
              <c:strCache>
                <c:ptCount val="1"/>
                <c:pt idx="0">
                  <c:v>Biomass harvesting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(GF)'!$B$81:$B$95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Biogas - membrane (GF)'!$AI$38,'Results Biogas - membrane (GF)'!$AI$41,'Results Biogas - membrane (GF)'!$AI$44,'Results Biogas - membrane (GF)'!$AI$47,'Results Biogas - membrane (GF)'!$AI$50,'Results Biogas - membrane (GF)'!$AI$53,'Results Biogas - membrane (GF)'!$AI$56,'Results Biogas - membrane (GF)'!$AI$59,'Results Biogas - membrane (GF)'!$AI$62,'Results Biogas - membrane (GF)'!$AI$65,'Results Biogas - membrane (GF)'!$AI$68,'Results Biogas - membrane (GF)'!$AI$71,'Results Biogas - membrane (GF)'!$AI$74,'Results Biogas - membrane (GF)'!$AI$77,'Results Biogas - membrane (GF)'!$AI$80)</c:f>
              <c:numCache>
                <c:formatCode>0.0%</c:formatCode>
                <c:ptCount val="15"/>
                <c:pt idx="0">
                  <c:v>1.3041701487923421E-2</c:v>
                </c:pt>
                <c:pt idx="1">
                  <c:v>2.2104356471424509E-3</c:v>
                </c:pt>
                <c:pt idx="2">
                  <c:v>-1.2019433845568148E-3</c:v>
                </c:pt>
                <c:pt idx="3">
                  <c:v>8.65750785379856E-2</c:v>
                </c:pt>
                <c:pt idx="4">
                  <c:v>2.8431301519574129E-2</c:v>
                </c:pt>
                <c:pt idx="5">
                  <c:v>6.8027641939627697E-3</c:v>
                </c:pt>
                <c:pt idx="6">
                  <c:v>1.7563391571242776E-2</c:v>
                </c:pt>
                <c:pt idx="7">
                  <c:v>7.1565247072943533E-3</c:v>
                </c:pt>
                <c:pt idx="8">
                  <c:v>3.3522971799036835E-2</c:v>
                </c:pt>
                <c:pt idx="9">
                  <c:v>7.0029972063876764E-3</c:v>
                </c:pt>
                <c:pt idx="10">
                  <c:v>3.5895929945104738E-2</c:v>
                </c:pt>
                <c:pt idx="11">
                  <c:v>3.2197244470002374E-3</c:v>
                </c:pt>
                <c:pt idx="12">
                  <c:v>1.9092989604463775E-2</c:v>
                </c:pt>
                <c:pt idx="13">
                  <c:v>3.1972691895431671E-2</c:v>
                </c:pt>
                <c:pt idx="14">
                  <c:v>7.8133954162229232E-3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50-43CA-84E7-74CAF8699327}"/>
            </c:ext>
          </c:extLst>
        </c:ser>
        <c:ser>
          <c:idx val="4"/>
          <c:order val="4"/>
          <c:tx>
            <c:strRef>
              <c:f>'Results Biogas - membrane (GF)'!$AJ$35</c:f>
              <c:strCache>
                <c:ptCount val="1"/>
                <c:pt idx="0">
                  <c:v>Cultivation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Biogas - membrane (GF)'!$B$81:$B$95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('Results Biogas - membrane (GF)'!$AJ$38,'Results Biogas - membrane (GF)'!$AJ$41,'Results Biogas - membrane (GF)'!$AJ$44,'Results Biogas - membrane (GF)'!$AJ$47,'Results Biogas - membrane (GF)'!$AJ$50,'Results Biogas - membrane (GF)'!$AJ$53,'Results Biogas - membrane (GF)'!$AJ$56,'Results Biogas - membrane (GF)'!$AJ$59,'Results Biogas - membrane (GF)'!$AJ$62,'Results Biogas - membrane (GF)'!$AJ$65,'Results Biogas - membrane (GF)'!$AJ$68,'Results Biogas - membrane (GF)'!$AJ$71,'Results Biogas - membrane (GF)'!$AJ$74,'Results Biogas - membrane (GF)'!$AJ$77,'Results Biogas - membrane (GF)'!$AJ$80)</c:f>
              <c:numCache>
                <c:formatCode>0.0%</c:formatCode>
                <c:ptCount val="15"/>
                <c:pt idx="0">
                  <c:v>0.74605035433756661</c:v>
                </c:pt>
                <c:pt idx="1">
                  <c:v>0.4945267806798756</c:v>
                </c:pt>
                <c:pt idx="2">
                  <c:v>0.69773012555835112</c:v>
                </c:pt>
                <c:pt idx="3">
                  <c:v>1.2234418711063908</c:v>
                </c:pt>
                <c:pt idx="4">
                  <c:v>0.800629179510989</c:v>
                </c:pt>
                <c:pt idx="5">
                  <c:v>0.7914007645336032</c:v>
                </c:pt>
                <c:pt idx="6">
                  <c:v>0.74651494949198671</c:v>
                </c:pt>
                <c:pt idx="7">
                  <c:v>0.81508775404704581</c:v>
                </c:pt>
                <c:pt idx="8">
                  <c:v>0.66799124884639105</c:v>
                </c:pt>
                <c:pt idx="9">
                  <c:v>0.49273604512479408</c:v>
                </c:pt>
                <c:pt idx="10">
                  <c:v>0.63658812898207617</c:v>
                </c:pt>
                <c:pt idx="11">
                  <c:v>0.27863786712239458</c:v>
                </c:pt>
                <c:pt idx="12">
                  <c:v>0.74371944561325032</c:v>
                </c:pt>
                <c:pt idx="13">
                  <c:v>0.77623900754247799</c:v>
                </c:pt>
                <c:pt idx="14">
                  <c:v>0.44529649050576192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50-43CA-84E7-74CAF8699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5537487"/>
        <c:axId val="1664588207"/>
      </c:barChart>
      <c:catAx>
        <c:axId val="83553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64588207"/>
        <c:crosses val="autoZero"/>
        <c:auto val="1"/>
        <c:lblAlgn val="ctr"/>
        <c:lblOffset val="100"/>
        <c:noMultiLvlLbl val="0"/>
      </c:catAx>
      <c:valAx>
        <c:axId val="16645882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553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'Comparation CO2 source (MEA)'!$L$2</c:f>
              <c:strCache>
                <c:ptCount val="1"/>
                <c:pt idx="0">
                  <c:v>SimaPro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'Comparation CO2 source (MEA)'!$B$3:$B$17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'Comparation CO2 source (MEA)'!$L$3:$L$17</c:f>
              <c:numCache>
                <c:formatCode>0%</c:formatCode>
                <c:ptCount val="15"/>
                <c:pt idx="0">
                  <c:v>0.78893196487221218</c:v>
                </c:pt>
                <c:pt idx="1">
                  <c:v>1</c:v>
                </c:pt>
                <c:pt idx="2">
                  <c:v>0.97466881812802975</c:v>
                </c:pt>
                <c:pt idx="3">
                  <c:v>0.95743023555378448</c:v>
                </c:pt>
                <c:pt idx="4">
                  <c:v>0.66108484490769648</c:v>
                </c:pt>
                <c:pt idx="5">
                  <c:v>0.81162483826671472</c:v>
                </c:pt>
                <c:pt idx="6">
                  <c:v>0.75386789796764897</c:v>
                </c:pt>
                <c:pt idx="7">
                  <c:v>0.9791528436942416</c:v>
                </c:pt>
                <c:pt idx="8">
                  <c:v>0.94856883643441903</c:v>
                </c:pt>
                <c:pt idx="9">
                  <c:v>1</c:v>
                </c:pt>
                <c:pt idx="10">
                  <c:v>0.94468605594975241</c:v>
                </c:pt>
                <c:pt idx="11">
                  <c:v>1</c:v>
                </c:pt>
                <c:pt idx="12">
                  <c:v>0.99325781505211308</c:v>
                </c:pt>
                <c:pt idx="13">
                  <c:v>0.76454534784399619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4-43DF-836F-9614A7186799}"/>
            </c:ext>
          </c:extLst>
        </c:ser>
        <c:ser>
          <c:idx val="0"/>
          <c:order val="1"/>
          <c:tx>
            <c:strRef>
              <c:f>'Comparation CO2 source (MEA)'!$J$2</c:f>
              <c:strCache>
                <c:ptCount val="1"/>
                <c:pt idx="0">
                  <c:v>Flue gas - MEA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'Comparation CO2 source (MEA)'!$B$3:$B$17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'Comparation CO2 source (MEA)'!$J$3:$J$17</c:f>
              <c:numCache>
                <c:formatCode>0%</c:formatCode>
                <c:ptCount val="15"/>
                <c:pt idx="0">
                  <c:v>0.77278047754822543</c:v>
                </c:pt>
                <c:pt idx="1">
                  <c:v>0.98148121336230154</c:v>
                </c:pt>
                <c:pt idx="2">
                  <c:v>0.99853047615038859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0.83063227384750937</c:v>
                </c:pt>
                <c:pt idx="7">
                  <c:v>1</c:v>
                </c:pt>
                <c:pt idx="8">
                  <c:v>1</c:v>
                </c:pt>
                <c:pt idx="9">
                  <c:v>0.9539321194274577</c:v>
                </c:pt>
                <c:pt idx="10">
                  <c:v>1</c:v>
                </c:pt>
                <c:pt idx="11">
                  <c:v>0.94390098288789492</c:v>
                </c:pt>
                <c:pt idx="12">
                  <c:v>0.92270557097020278</c:v>
                </c:pt>
                <c:pt idx="13">
                  <c:v>1</c:v>
                </c:pt>
                <c:pt idx="14">
                  <c:v>0.62307100967679963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4-43DF-836F-9614A7186799}"/>
            </c:ext>
          </c:extLst>
        </c:ser>
        <c:ser>
          <c:idx val="2"/>
          <c:order val="2"/>
          <c:tx>
            <c:strRef>
              <c:f>'Comparation CO2 source (MEA)'!$K$2</c:f>
              <c:strCache>
                <c:ptCount val="1"/>
                <c:pt idx="0">
                  <c:v>Biogas - MEA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val>
            <c:numRef>
              <c:f>'Comparation CO2 source (MEA)'!$K$3:$K$17</c:f>
              <c:numCache>
                <c:formatCode>0%</c:formatCode>
                <c:ptCount val="15"/>
                <c:pt idx="0">
                  <c:v>1</c:v>
                </c:pt>
                <c:pt idx="1">
                  <c:v>0.98239226032200011</c:v>
                </c:pt>
                <c:pt idx="2">
                  <c:v>1</c:v>
                </c:pt>
                <c:pt idx="3">
                  <c:v>0.87526939897594647</c:v>
                </c:pt>
                <c:pt idx="4">
                  <c:v>0.68224237969220469</c:v>
                </c:pt>
                <c:pt idx="5">
                  <c:v>0.90198022012120005</c:v>
                </c:pt>
                <c:pt idx="6">
                  <c:v>1</c:v>
                </c:pt>
                <c:pt idx="7">
                  <c:v>0.96129877302634303</c:v>
                </c:pt>
                <c:pt idx="8">
                  <c:v>0.99242686796553603</c:v>
                </c:pt>
                <c:pt idx="9">
                  <c:v>0.94839086306977904</c:v>
                </c:pt>
                <c:pt idx="10">
                  <c:v>0.96761869499023945</c:v>
                </c:pt>
                <c:pt idx="11">
                  <c:v>0.90373333114304222</c:v>
                </c:pt>
                <c:pt idx="12">
                  <c:v>1</c:v>
                </c:pt>
                <c:pt idx="13">
                  <c:v>0.81768371638220916</c:v>
                </c:pt>
                <c:pt idx="14">
                  <c:v>0.69163646981553617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1A-4E0A-B844-CDD84CF59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23634559"/>
        <c:axId val="137039935"/>
      </c:barChart>
      <c:catAx>
        <c:axId val="1523634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7039935"/>
        <c:crosses val="autoZero"/>
        <c:auto val="1"/>
        <c:lblAlgn val="ctr"/>
        <c:lblOffset val="100"/>
        <c:noMultiLvlLbl val="0"/>
      </c:catAx>
      <c:valAx>
        <c:axId val="13703993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363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'Comparation CO2 source (MEA)'!$L$2</c:f>
              <c:strCache>
                <c:ptCount val="1"/>
                <c:pt idx="0">
                  <c:v>SimaPro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'Comparation CO2 source (MEA)'!$B$21:$B$24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'Comparation CO2 source (MEA)'!$L$21:$L$24</c:f>
              <c:numCache>
                <c:formatCode>0%</c:formatCode>
                <c:ptCount val="4"/>
                <c:pt idx="0">
                  <c:v>0.96691114175046033</c:v>
                </c:pt>
                <c:pt idx="1">
                  <c:v>0.98505196220006741</c:v>
                </c:pt>
                <c:pt idx="2">
                  <c:v>0.99325781505211308</c:v>
                </c:pt>
                <c:pt idx="3">
                  <c:v>0.7656758003497055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EA-47F8-9603-60C6699CF7DF}"/>
            </c:ext>
          </c:extLst>
        </c:ser>
        <c:ser>
          <c:idx val="0"/>
          <c:order val="1"/>
          <c:tx>
            <c:strRef>
              <c:f>'Comparation CO2 source (MEA)'!$J$2</c:f>
              <c:strCache>
                <c:ptCount val="1"/>
                <c:pt idx="0">
                  <c:v>Flue gas - MEA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'Comparation CO2 source (MEA)'!$B$21:$B$24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'Comparation CO2 source (MEA)'!$J$21:$J$24</c:f>
              <c:numCache>
                <c:formatCode>0%</c:formatCode>
                <c:ptCount val="4"/>
                <c:pt idx="0">
                  <c:v>0.98512045072869603</c:v>
                </c:pt>
                <c:pt idx="1">
                  <c:v>1</c:v>
                </c:pt>
                <c:pt idx="2">
                  <c:v>0.92270557097020278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EA-47F8-9603-60C6699CF7DF}"/>
            </c:ext>
          </c:extLst>
        </c:ser>
        <c:ser>
          <c:idx val="2"/>
          <c:order val="2"/>
          <c:tx>
            <c:strRef>
              <c:f>'Comparation CO2 source (MEA)'!$K$20</c:f>
              <c:strCache>
                <c:ptCount val="1"/>
                <c:pt idx="0">
                  <c:v>Biogas - MEA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'Comparation CO2 source (MEA)'!$B$21:$B$24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'Comparation CO2 source (MEA)'!$K$21:$K$24</c:f>
              <c:numCache>
                <c:formatCode>0%</c:formatCode>
                <c:ptCount val="4"/>
                <c:pt idx="0">
                  <c:v>1</c:v>
                </c:pt>
                <c:pt idx="1">
                  <c:v>0.96841727114835563</c:v>
                </c:pt>
                <c:pt idx="2">
                  <c:v>1</c:v>
                </c:pt>
                <c:pt idx="3">
                  <c:v>0.8178394789134058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C7-49A2-82E9-0A7A6749B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23634559"/>
        <c:axId val="137039935"/>
      </c:barChart>
      <c:catAx>
        <c:axId val="1523634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7039935"/>
        <c:crosses val="autoZero"/>
        <c:auto val="1"/>
        <c:lblAlgn val="ctr"/>
        <c:lblOffset val="100"/>
        <c:noMultiLvlLbl val="0"/>
      </c:catAx>
      <c:valAx>
        <c:axId val="13703993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363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'Comparation CO2 source (MEA)'!$L$2</c:f>
              <c:strCache>
                <c:ptCount val="1"/>
                <c:pt idx="0">
                  <c:v>SimaPro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'Comparation CO2 source (MEA)'!$B$34:$B$48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'Comparation CO2 source (MEA)'!$L$3:$L$17</c:f>
              <c:numCache>
                <c:formatCode>0%</c:formatCode>
                <c:ptCount val="15"/>
                <c:pt idx="0">
                  <c:v>0.78893196487221218</c:v>
                </c:pt>
                <c:pt idx="1">
                  <c:v>1</c:v>
                </c:pt>
                <c:pt idx="2">
                  <c:v>0.97466881812802975</c:v>
                </c:pt>
                <c:pt idx="3">
                  <c:v>0.95743023555378448</c:v>
                </c:pt>
                <c:pt idx="4">
                  <c:v>0.66108484490769648</c:v>
                </c:pt>
                <c:pt idx="5">
                  <c:v>0.81162483826671472</c:v>
                </c:pt>
                <c:pt idx="6">
                  <c:v>0.75386789796764897</c:v>
                </c:pt>
                <c:pt idx="7">
                  <c:v>0.9791528436942416</c:v>
                </c:pt>
                <c:pt idx="8">
                  <c:v>0.94856883643441903</c:v>
                </c:pt>
                <c:pt idx="9">
                  <c:v>1</c:v>
                </c:pt>
                <c:pt idx="10">
                  <c:v>0.94468605594975241</c:v>
                </c:pt>
                <c:pt idx="11">
                  <c:v>1</c:v>
                </c:pt>
                <c:pt idx="12">
                  <c:v>0.99325781505211308</c:v>
                </c:pt>
                <c:pt idx="13">
                  <c:v>0.76454534784399619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20-4855-83CF-5F3881D5CBFF}"/>
            </c:ext>
          </c:extLst>
        </c:ser>
        <c:ser>
          <c:idx val="0"/>
          <c:order val="1"/>
          <c:tx>
            <c:strRef>
              <c:f>'Comparation CO2 source (MEA)'!$J$2</c:f>
              <c:strCache>
                <c:ptCount val="1"/>
                <c:pt idx="0">
                  <c:v>Flue gas - MEA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'Comparation CO2 source (MEA)'!$B$34:$B$48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'Comparation CO2 source (MEA)'!$J$3:$J$17</c:f>
              <c:numCache>
                <c:formatCode>0%</c:formatCode>
                <c:ptCount val="15"/>
                <c:pt idx="0">
                  <c:v>0.77278047754822543</c:v>
                </c:pt>
                <c:pt idx="1">
                  <c:v>0.98148121336230154</c:v>
                </c:pt>
                <c:pt idx="2">
                  <c:v>0.99853047615038859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0.83063227384750937</c:v>
                </c:pt>
                <c:pt idx="7">
                  <c:v>1</c:v>
                </c:pt>
                <c:pt idx="8">
                  <c:v>1</c:v>
                </c:pt>
                <c:pt idx="9">
                  <c:v>0.9539321194274577</c:v>
                </c:pt>
                <c:pt idx="10">
                  <c:v>1</c:v>
                </c:pt>
                <c:pt idx="11">
                  <c:v>0.94390098288789492</c:v>
                </c:pt>
                <c:pt idx="12">
                  <c:v>0.92270557097020278</c:v>
                </c:pt>
                <c:pt idx="13">
                  <c:v>1</c:v>
                </c:pt>
                <c:pt idx="14">
                  <c:v>0.62307100967679963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20-4855-83CF-5F3881D5CBFF}"/>
            </c:ext>
          </c:extLst>
        </c:ser>
        <c:ser>
          <c:idx val="2"/>
          <c:order val="2"/>
          <c:tx>
            <c:strRef>
              <c:f>'Comparation CO2 source (MEA)'!$K$33</c:f>
              <c:strCache>
                <c:ptCount val="1"/>
                <c:pt idx="0">
                  <c:v>Biogas - MEA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'Comparation CO2 source (MEA)'!$B$34:$B$48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'Comparation CO2 source (MEA)'!$K$34:$K$48</c:f>
              <c:numCache>
                <c:formatCode>0%</c:formatCode>
                <c:ptCount val="15"/>
                <c:pt idx="0">
                  <c:v>1</c:v>
                </c:pt>
                <c:pt idx="1">
                  <c:v>0.98246932491238503</c:v>
                </c:pt>
                <c:pt idx="2">
                  <c:v>1</c:v>
                </c:pt>
                <c:pt idx="3">
                  <c:v>0.83338420164146854</c:v>
                </c:pt>
                <c:pt idx="4">
                  <c:v>0.69668246445519966</c:v>
                </c:pt>
                <c:pt idx="5">
                  <c:v>0.90464341599793163</c:v>
                </c:pt>
                <c:pt idx="6">
                  <c:v>1</c:v>
                </c:pt>
                <c:pt idx="7">
                  <c:v>0.95915588876814739</c:v>
                </c:pt>
                <c:pt idx="8">
                  <c:v>0.99369748024945259</c:v>
                </c:pt>
                <c:pt idx="9">
                  <c:v>0.9512602701573597</c:v>
                </c:pt>
                <c:pt idx="10">
                  <c:v>0.96824597208570717</c:v>
                </c:pt>
                <c:pt idx="11">
                  <c:v>0.90641085634066454</c:v>
                </c:pt>
                <c:pt idx="12">
                  <c:v>1</c:v>
                </c:pt>
                <c:pt idx="13">
                  <c:v>0.82475131537618473</c:v>
                </c:pt>
                <c:pt idx="14">
                  <c:v>0.69914655860502251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FC-4A44-A1DE-93F445663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23634559"/>
        <c:axId val="137039935"/>
      </c:barChart>
      <c:catAx>
        <c:axId val="1523634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7039935"/>
        <c:crosses val="autoZero"/>
        <c:auto val="1"/>
        <c:lblAlgn val="ctr"/>
        <c:lblOffset val="100"/>
        <c:noMultiLvlLbl val="0"/>
      </c:catAx>
      <c:valAx>
        <c:axId val="13703993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363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'Comparation CO2 source (MEA)'!$L$2</c:f>
              <c:strCache>
                <c:ptCount val="1"/>
                <c:pt idx="0">
                  <c:v>SimaPro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'Comparation CO2 source (MEA)'!$B$52:$B$55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'Comparation CO2 source (MEA)'!$L$21:$L$24</c:f>
              <c:numCache>
                <c:formatCode>0%</c:formatCode>
                <c:ptCount val="4"/>
                <c:pt idx="0">
                  <c:v>0.96691114175046033</c:v>
                </c:pt>
                <c:pt idx="1">
                  <c:v>0.98505196220006741</c:v>
                </c:pt>
                <c:pt idx="2">
                  <c:v>0.99325781505211308</c:v>
                </c:pt>
                <c:pt idx="3">
                  <c:v>0.7656758003497055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17-41A4-87CE-DFC5B66C84D3}"/>
            </c:ext>
          </c:extLst>
        </c:ser>
        <c:ser>
          <c:idx val="0"/>
          <c:order val="1"/>
          <c:tx>
            <c:strRef>
              <c:f>'Comparation CO2 source (MEA)'!$J$2</c:f>
              <c:strCache>
                <c:ptCount val="1"/>
                <c:pt idx="0">
                  <c:v>Flue gas - MEA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'Comparation CO2 source (MEA)'!$B$52:$B$55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'Comparation CO2 source (MEA)'!$J$21:$J$24</c:f>
              <c:numCache>
                <c:formatCode>0%</c:formatCode>
                <c:ptCount val="4"/>
                <c:pt idx="0">
                  <c:v>0.98512045072869603</c:v>
                </c:pt>
                <c:pt idx="1">
                  <c:v>1</c:v>
                </c:pt>
                <c:pt idx="2">
                  <c:v>0.92270557097020278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17-41A4-87CE-DFC5B66C84D3}"/>
            </c:ext>
          </c:extLst>
        </c:ser>
        <c:ser>
          <c:idx val="2"/>
          <c:order val="2"/>
          <c:tx>
            <c:strRef>
              <c:f>'Comparation CO2 source (MEA)'!$K$51</c:f>
              <c:strCache>
                <c:ptCount val="1"/>
                <c:pt idx="0">
                  <c:v>Biogas - MEA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'Comparation CO2 source (MEA)'!$B$52:$B$55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'Comparation CO2 source (MEA)'!$K$52:$K$55</c:f>
              <c:numCache>
                <c:formatCode>0%</c:formatCode>
                <c:ptCount val="4"/>
                <c:pt idx="0">
                  <c:v>1</c:v>
                </c:pt>
                <c:pt idx="1">
                  <c:v>0.97088792636804322</c:v>
                </c:pt>
                <c:pt idx="2">
                  <c:v>1</c:v>
                </c:pt>
                <c:pt idx="3">
                  <c:v>0.82501362874622264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B-4AAD-9720-D2FD9D301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23634559"/>
        <c:axId val="137039935"/>
      </c:barChart>
      <c:catAx>
        <c:axId val="1523634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7039935"/>
        <c:crosses val="autoZero"/>
        <c:auto val="1"/>
        <c:lblAlgn val="ctr"/>
        <c:lblOffset val="100"/>
        <c:noMultiLvlLbl val="0"/>
      </c:catAx>
      <c:valAx>
        <c:axId val="13703993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363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'Comparation CO2 source (membra)'!$L$2</c:f>
              <c:strCache>
                <c:ptCount val="1"/>
                <c:pt idx="0">
                  <c:v>SimaPro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'Comparation CO2 source (membra)'!$B$3:$B$17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'Comparation CO2 source (membra)'!$L$3:$L$17</c:f>
              <c:numCache>
                <c:formatCode>0%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EA-4A74-B87A-BC0FEE29559C}"/>
            </c:ext>
          </c:extLst>
        </c:ser>
        <c:ser>
          <c:idx val="0"/>
          <c:order val="1"/>
          <c:tx>
            <c:strRef>
              <c:f>'Comparation CO2 source (membra)'!$J$2</c:f>
              <c:strCache>
                <c:ptCount val="1"/>
                <c:pt idx="0">
                  <c:v>Flue gas - membrane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'Comparation CO2 source (membra)'!$B$3:$B$17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'Comparation CO2 source (membra)'!$J$3:$J$17</c:f>
              <c:numCache>
                <c:formatCode>0%</c:formatCode>
                <c:ptCount val="15"/>
                <c:pt idx="0">
                  <c:v>0.8532076557088023</c:v>
                </c:pt>
                <c:pt idx="1">
                  <c:v>0.93444841406785872</c:v>
                </c:pt>
                <c:pt idx="2">
                  <c:v>0.89089816656138521</c:v>
                </c:pt>
                <c:pt idx="3">
                  <c:v>0.90870620335743757</c:v>
                </c:pt>
                <c:pt idx="4">
                  <c:v>0.92381813370718757</c:v>
                </c:pt>
                <c:pt idx="5">
                  <c:v>0.91549492972994317</c:v>
                </c:pt>
                <c:pt idx="6">
                  <c:v>0.88035161491728353</c:v>
                </c:pt>
                <c:pt idx="7">
                  <c:v>0.92946076314046244</c:v>
                </c:pt>
                <c:pt idx="8">
                  <c:v>0.90412533578038412</c:v>
                </c:pt>
                <c:pt idx="9">
                  <c:v>0.93157601619130648</c:v>
                </c:pt>
                <c:pt idx="10">
                  <c:v>0.89137562806199944</c:v>
                </c:pt>
                <c:pt idx="11">
                  <c:v>0.84348185352576321</c:v>
                </c:pt>
                <c:pt idx="12">
                  <c:v>0.84826756209863408</c:v>
                </c:pt>
                <c:pt idx="13">
                  <c:v>0.87041007498933187</c:v>
                </c:pt>
                <c:pt idx="14">
                  <c:v>0.59318066806917968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EA-4A74-B87A-BC0FEE29559C}"/>
            </c:ext>
          </c:extLst>
        </c:ser>
        <c:ser>
          <c:idx val="2"/>
          <c:order val="2"/>
          <c:tx>
            <c:strRef>
              <c:f>'Comparation CO2 source (membra)'!$K$2</c:f>
              <c:strCache>
                <c:ptCount val="1"/>
                <c:pt idx="0">
                  <c:v>Biogas - membrane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val>
            <c:numRef>
              <c:f>'Comparation CO2 source (membra)'!$K$3:$K$17</c:f>
              <c:numCache>
                <c:formatCode>0%</c:formatCode>
                <c:ptCount val="15"/>
                <c:pt idx="0">
                  <c:v>0.85884345975386733</c:v>
                </c:pt>
                <c:pt idx="1">
                  <c:v>0.9357011036374443</c:v>
                </c:pt>
                <c:pt idx="2">
                  <c:v>0.89843674696059106</c:v>
                </c:pt>
                <c:pt idx="3">
                  <c:v>0.91832184523314675</c:v>
                </c:pt>
                <c:pt idx="4">
                  <c:v>0.92868463789799915</c:v>
                </c:pt>
                <c:pt idx="5">
                  <c:v>0.91734002409400084</c:v>
                </c:pt>
                <c:pt idx="6">
                  <c:v>0.88424958798500553</c:v>
                </c:pt>
                <c:pt idx="7">
                  <c:v>0.93104177175307656</c:v>
                </c:pt>
                <c:pt idx="8">
                  <c:v>0.91190948749398837</c:v>
                </c:pt>
                <c:pt idx="9">
                  <c:v>0.93329571644024112</c:v>
                </c:pt>
                <c:pt idx="10">
                  <c:v>0.89979461861951071</c:v>
                </c:pt>
                <c:pt idx="11">
                  <c:v>0.84521321782511027</c:v>
                </c:pt>
                <c:pt idx="12">
                  <c:v>0.85350790551904354</c:v>
                </c:pt>
                <c:pt idx="13">
                  <c:v>0.87665174131718449</c:v>
                </c:pt>
                <c:pt idx="14">
                  <c:v>0.59439617179444326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EA-4A74-B87A-BC0FEE295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23634559"/>
        <c:axId val="137039935"/>
      </c:barChart>
      <c:catAx>
        <c:axId val="1523634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7039935"/>
        <c:crosses val="autoZero"/>
        <c:auto val="1"/>
        <c:lblAlgn val="ctr"/>
        <c:lblOffset val="100"/>
        <c:noMultiLvlLbl val="0"/>
      </c:catAx>
      <c:valAx>
        <c:axId val="13703993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363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'Comparation CO2 source (membra)'!$L$2</c:f>
              <c:strCache>
                <c:ptCount val="1"/>
                <c:pt idx="0">
                  <c:v>SimaPro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'Comparation CO2 source (membra)'!$B$21:$B$24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'Comparation CO2 source (membra)'!$L$21:$L$24</c:f>
              <c:numCache>
                <c:formatCode>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40-40AE-A6A7-5CFB9337FB52}"/>
            </c:ext>
          </c:extLst>
        </c:ser>
        <c:ser>
          <c:idx val="0"/>
          <c:order val="1"/>
          <c:tx>
            <c:strRef>
              <c:f>'Comparation CO2 source (membra)'!$J$2</c:f>
              <c:strCache>
                <c:ptCount val="1"/>
                <c:pt idx="0">
                  <c:v>Flue gas - membrane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'Comparation CO2 source (membra)'!$B$21:$B$24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'Comparation CO2 source (membra)'!$J$21:$J$24</c:f>
              <c:numCache>
                <c:formatCode>0%</c:formatCode>
                <c:ptCount val="4"/>
                <c:pt idx="0">
                  <c:v>0.89279130151946307</c:v>
                </c:pt>
                <c:pt idx="1">
                  <c:v>0.92811959210277561</c:v>
                </c:pt>
                <c:pt idx="2">
                  <c:v>0.84826756209863408</c:v>
                </c:pt>
                <c:pt idx="3">
                  <c:v>0.86949826781716655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40-40AE-A6A7-5CFB9337FB52}"/>
            </c:ext>
          </c:extLst>
        </c:ser>
        <c:ser>
          <c:idx val="2"/>
          <c:order val="2"/>
          <c:tx>
            <c:strRef>
              <c:f>'Comparation CO2 source (membra)'!$K$20</c:f>
              <c:strCache>
                <c:ptCount val="1"/>
                <c:pt idx="0">
                  <c:v>Biogas - membrane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'Comparation CO2 source (membra)'!$B$21:$B$24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'Comparation CO2 source (membra)'!$K$21:$K$24</c:f>
              <c:numCache>
                <c:formatCode>0%</c:formatCode>
                <c:ptCount val="4"/>
                <c:pt idx="0">
                  <c:v>0.89975287676635274</c:v>
                </c:pt>
                <c:pt idx="1">
                  <c:v>0.93000149167611268</c:v>
                </c:pt>
                <c:pt idx="2">
                  <c:v>0.85350790551904354</c:v>
                </c:pt>
                <c:pt idx="3">
                  <c:v>0.87588506406820421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40-40AE-A6A7-5CFB9337F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23634559"/>
        <c:axId val="137039935"/>
      </c:barChart>
      <c:catAx>
        <c:axId val="1523634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7039935"/>
        <c:crosses val="autoZero"/>
        <c:auto val="1"/>
        <c:lblAlgn val="ctr"/>
        <c:lblOffset val="100"/>
        <c:noMultiLvlLbl val="0"/>
      </c:catAx>
      <c:valAx>
        <c:axId val="137039935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363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'Comparation CO2 source (membra)'!$L$2</c:f>
              <c:strCache>
                <c:ptCount val="1"/>
                <c:pt idx="0">
                  <c:v>SimaPro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'Comparation CO2 source (membra)'!$B$34:$B$48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'Comparation CO2 source (membra)'!$L$3:$L$17</c:f>
              <c:numCache>
                <c:formatCode>0%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7F-47C7-8116-E207E7B4F7DA}"/>
            </c:ext>
          </c:extLst>
        </c:ser>
        <c:ser>
          <c:idx val="0"/>
          <c:order val="1"/>
          <c:tx>
            <c:strRef>
              <c:f>'Comparation CO2 source (membra)'!$J$2</c:f>
              <c:strCache>
                <c:ptCount val="1"/>
                <c:pt idx="0">
                  <c:v>Flue gas - membrane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'Comparation CO2 source (membra)'!$B$34:$B$48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'Comparation CO2 source (membra)'!$J$3:$J$17</c:f>
              <c:numCache>
                <c:formatCode>0%</c:formatCode>
                <c:ptCount val="15"/>
                <c:pt idx="0">
                  <c:v>0.8532076557088023</c:v>
                </c:pt>
                <c:pt idx="1">
                  <c:v>0.93444841406785872</c:v>
                </c:pt>
                <c:pt idx="2">
                  <c:v>0.89089816656138521</c:v>
                </c:pt>
                <c:pt idx="3">
                  <c:v>0.90870620335743757</c:v>
                </c:pt>
                <c:pt idx="4">
                  <c:v>0.92381813370718757</c:v>
                </c:pt>
                <c:pt idx="5">
                  <c:v>0.91549492972994317</c:v>
                </c:pt>
                <c:pt idx="6">
                  <c:v>0.88035161491728353</c:v>
                </c:pt>
                <c:pt idx="7">
                  <c:v>0.92946076314046244</c:v>
                </c:pt>
                <c:pt idx="8">
                  <c:v>0.90412533578038412</c:v>
                </c:pt>
                <c:pt idx="9">
                  <c:v>0.93157601619130648</c:v>
                </c:pt>
                <c:pt idx="10">
                  <c:v>0.89137562806199944</c:v>
                </c:pt>
                <c:pt idx="11">
                  <c:v>0.84348185352576321</c:v>
                </c:pt>
                <c:pt idx="12">
                  <c:v>0.84826756209863408</c:v>
                </c:pt>
                <c:pt idx="13">
                  <c:v>0.87041007498933187</c:v>
                </c:pt>
                <c:pt idx="14">
                  <c:v>0.59318066806917968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7F-47C7-8116-E207E7B4F7DA}"/>
            </c:ext>
          </c:extLst>
        </c:ser>
        <c:ser>
          <c:idx val="2"/>
          <c:order val="2"/>
          <c:tx>
            <c:strRef>
              <c:f>'Comparation CO2 source (membra)'!$K$33</c:f>
              <c:strCache>
                <c:ptCount val="1"/>
                <c:pt idx="0">
                  <c:v>Biogas - membrane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'Comparation CO2 source (membra)'!$B$34:$B$48</c:f>
              <c:strCache>
                <c:ptCount val="15"/>
                <c:pt idx="0">
                  <c:v>Carcinogens</c:v>
                </c:pt>
                <c:pt idx="1">
                  <c:v>Non-carcinogens</c:v>
                </c:pt>
                <c:pt idx="2">
                  <c:v>Respiratory inorganics</c:v>
                </c:pt>
                <c:pt idx="3">
                  <c:v>Ionizing radiation</c:v>
                </c:pt>
                <c:pt idx="4">
                  <c:v>Ozone layer depletion</c:v>
                </c:pt>
                <c:pt idx="5">
                  <c:v>Respiratory organics</c:v>
                </c:pt>
                <c:pt idx="6">
                  <c:v>Aquatic ecotoxicity</c:v>
                </c:pt>
                <c:pt idx="7">
                  <c:v>Terrestrial ecotoxicity</c:v>
                </c:pt>
                <c:pt idx="8">
                  <c:v>Terrestrial acid/nutri</c:v>
                </c:pt>
                <c:pt idx="9">
                  <c:v>Land occupation</c:v>
                </c:pt>
                <c:pt idx="10">
                  <c:v>Aquatic acidification</c:v>
                </c:pt>
                <c:pt idx="11">
                  <c:v>Aquatic eutrophication</c:v>
                </c:pt>
                <c:pt idx="12">
                  <c:v>Global warming</c:v>
                </c:pt>
                <c:pt idx="13">
                  <c:v>Non-renewable energy</c:v>
                </c:pt>
                <c:pt idx="14">
                  <c:v>Mineral extraction</c:v>
                </c:pt>
              </c:strCache>
            </c:strRef>
          </c:cat>
          <c:val>
            <c:numRef>
              <c:f>'Comparation CO2 source (membra)'!$K$34:$K$48</c:f>
              <c:numCache>
                <c:formatCode>0%</c:formatCode>
                <c:ptCount val="15"/>
                <c:pt idx="0">
                  <c:v>0.86375432751357994</c:v>
                </c:pt>
                <c:pt idx="1">
                  <c:v>0.93739044611566091</c:v>
                </c:pt>
                <c:pt idx="2">
                  <c:v>0.90346205766922361</c:v>
                </c:pt>
                <c:pt idx="3">
                  <c:v>0.88910344960595566</c:v>
                </c:pt>
                <c:pt idx="4">
                  <c:v>0.93393393393400592</c:v>
                </c:pt>
                <c:pt idx="5">
                  <c:v>0.92254989738440052</c:v>
                </c:pt>
                <c:pt idx="6">
                  <c:v>0.89313261806994604</c:v>
                </c:pt>
                <c:pt idx="7">
                  <c:v>0.93745656769936658</c:v>
                </c:pt>
                <c:pt idx="8">
                  <c:v>0.91390730282297172</c:v>
                </c:pt>
                <c:pt idx="9">
                  <c:v>0.93733463305946252</c:v>
                </c:pt>
                <c:pt idx="10">
                  <c:v>0.89963892695305614</c:v>
                </c:pt>
                <c:pt idx="11">
                  <c:v>0.84401809390110749</c:v>
                </c:pt>
                <c:pt idx="12">
                  <c:v>0.86289631534775602</c:v>
                </c:pt>
                <c:pt idx="13">
                  <c:v>0.88323518698926284</c:v>
                </c:pt>
                <c:pt idx="14">
                  <c:v>0.60520660649597835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7F-47C7-8116-E207E7B4F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23634559"/>
        <c:axId val="137039935"/>
      </c:barChart>
      <c:catAx>
        <c:axId val="1523634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7039935"/>
        <c:crosses val="autoZero"/>
        <c:auto val="1"/>
        <c:lblAlgn val="ctr"/>
        <c:lblOffset val="100"/>
        <c:noMultiLvlLbl val="0"/>
      </c:catAx>
      <c:valAx>
        <c:axId val="13703993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363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SimaPro (GF)'!$N$102</c:f>
              <c:strCache>
                <c:ptCount val="1"/>
                <c:pt idx="0">
                  <c:v>Biostimulant delivery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(GF)'!$L$103:$L$106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SimaPro (GF)'!$N$103:$N$106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F3-4738-A1CC-E71487BB7C03}"/>
            </c:ext>
          </c:extLst>
        </c:ser>
        <c:ser>
          <c:idx val="1"/>
          <c:order val="1"/>
          <c:tx>
            <c:strRef>
              <c:f>'Results SimaPro (GF)'!$O$102</c:f>
              <c:strCache>
                <c:ptCount val="1"/>
                <c:pt idx="0">
                  <c:v>Biostimulant production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(GF)'!$L$103:$L$106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SimaPro (GF)'!$O$103:$O$106</c:f>
              <c:numCache>
                <c:formatCode>0%</c:formatCode>
                <c:ptCount val="4"/>
                <c:pt idx="0">
                  <c:v>0.96223812045701262</c:v>
                </c:pt>
                <c:pt idx="1">
                  <c:v>0.92319029289011167</c:v>
                </c:pt>
                <c:pt idx="2">
                  <c:v>0.9483004855113546</c:v>
                </c:pt>
                <c:pt idx="3">
                  <c:v>0.94805657084812867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F3-4738-A1CC-E71487BB7C03}"/>
            </c:ext>
          </c:extLst>
        </c:ser>
        <c:ser>
          <c:idx val="2"/>
          <c:order val="2"/>
          <c:tx>
            <c:strRef>
              <c:f>'Results SimaPro (GF)'!$P$102</c:f>
              <c:strCache>
                <c:ptCount val="1"/>
                <c:pt idx="0">
                  <c:v>Final tank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(GF)'!$L$103:$L$106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SimaPro (GF)'!$P$103:$P$106</c:f>
              <c:numCache>
                <c:formatCode>0%</c:formatCode>
                <c:ptCount val="4"/>
                <c:pt idx="0">
                  <c:v>9.7841018970839103E-8</c:v>
                </c:pt>
                <c:pt idx="1">
                  <c:v>2.7474143116409727E-7</c:v>
                </c:pt>
                <c:pt idx="2">
                  <c:v>6.7694944297045494E-11</c:v>
                </c:pt>
                <c:pt idx="3">
                  <c:v>3.7331897936327411E-4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F3-4738-A1CC-E71487BB7C03}"/>
            </c:ext>
          </c:extLst>
        </c:ser>
        <c:ser>
          <c:idx val="3"/>
          <c:order val="3"/>
          <c:tx>
            <c:strRef>
              <c:f>'Results SimaPro (GF)'!$Q$102</c:f>
              <c:strCache>
                <c:ptCount val="1"/>
                <c:pt idx="0">
                  <c:v>Transport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(GF)'!$L$103:$L$106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SimaPro (GF)'!$Q$103:$Q$106</c:f>
              <c:numCache>
                <c:formatCode>0%</c:formatCode>
                <c:ptCount val="4"/>
                <c:pt idx="0">
                  <c:v>3.7761781701968478E-2</c:v>
                </c:pt>
                <c:pt idx="1">
                  <c:v>7.6809432368457289E-2</c:v>
                </c:pt>
                <c:pt idx="2">
                  <c:v>5.169951442095036E-2</c:v>
                </c:pt>
                <c:pt idx="3">
                  <c:v>5.15701101725081E-2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F3-4738-A1CC-E71487BB7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'Comparation CO2 source (membra)'!$L$2</c:f>
              <c:strCache>
                <c:ptCount val="1"/>
                <c:pt idx="0">
                  <c:v>SimaPro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'Comparation CO2 source (membra)'!$B$52:$B$55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'Comparation CO2 source (membra)'!$L$21:$L$24</c:f>
              <c:numCache>
                <c:formatCode>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DA-4B6F-AD92-CE58B6C4001B}"/>
            </c:ext>
          </c:extLst>
        </c:ser>
        <c:ser>
          <c:idx val="0"/>
          <c:order val="1"/>
          <c:tx>
            <c:strRef>
              <c:f>'Comparation CO2 source (membra)'!$J$2</c:f>
              <c:strCache>
                <c:ptCount val="1"/>
                <c:pt idx="0">
                  <c:v>Flue gas - membrane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'Comparation CO2 source (membra)'!$B$52:$B$55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'Comparation CO2 source (membra)'!$J$21:$J$24</c:f>
              <c:numCache>
                <c:formatCode>0%</c:formatCode>
                <c:ptCount val="4"/>
                <c:pt idx="0">
                  <c:v>0.89279130151946307</c:v>
                </c:pt>
                <c:pt idx="1">
                  <c:v>0.92811959210277561</c:v>
                </c:pt>
                <c:pt idx="2">
                  <c:v>0.84826756209863408</c:v>
                </c:pt>
                <c:pt idx="3">
                  <c:v>0.86949826781716655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DA-4B6F-AD92-CE58B6C4001B}"/>
            </c:ext>
          </c:extLst>
        </c:ser>
        <c:ser>
          <c:idx val="2"/>
          <c:order val="2"/>
          <c:tx>
            <c:strRef>
              <c:f>'Comparation CO2 source (membra)'!$K$51</c:f>
              <c:strCache>
                <c:ptCount val="1"/>
                <c:pt idx="0">
                  <c:v>Biogas - membrane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'Comparation CO2 source (membra)'!$B$52:$B$55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'Comparation CO2 source (membra)'!$K$52:$K$55</c:f>
              <c:numCache>
                <c:formatCode>0%</c:formatCode>
                <c:ptCount val="4"/>
                <c:pt idx="0">
                  <c:v>0.90296758449172976</c:v>
                </c:pt>
                <c:pt idx="1">
                  <c:v>0.93353029891191208</c:v>
                </c:pt>
                <c:pt idx="2">
                  <c:v>0.86289631534775602</c:v>
                </c:pt>
                <c:pt idx="3">
                  <c:v>0.88192702048045279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DA-4B6F-AD92-CE58B6C40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23634559"/>
        <c:axId val="137039935"/>
      </c:barChart>
      <c:catAx>
        <c:axId val="1523634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7039935"/>
        <c:crosses val="autoZero"/>
        <c:auto val="1"/>
        <c:lblAlgn val="ctr"/>
        <c:lblOffset val="100"/>
        <c:noMultiLvlLbl val="0"/>
      </c:catAx>
      <c:valAx>
        <c:axId val="137039935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363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'Results SimaPro (GF)'!$N$110</c:f>
              <c:strCache>
                <c:ptCount val="1"/>
                <c:pt idx="0">
                  <c:v>Biomass pretreatment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SimaPro (GF)'!$N$111:$N$114</c:f>
              <c:numCache>
                <c:formatCode>0%</c:formatCode>
                <c:ptCount val="4"/>
                <c:pt idx="0">
                  <c:v>0.7497463386244686</c:v>
                </c:pt>
                <c:pt idx="1">
                  <c:v>0.86160731553959424</c:v>
                </c:pt>
                <c:pt idx="2">
                  <c:v>0.84550206664008998</c:v>
                </c:pt>
                <c:pt idx="3">
                  <c:v>0.88259911693139093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E6-40DB-9703-9F0C31231960}"/>
            </c:ext>
          </c:extLst>
        </c:ser>
        <c:ser>
          <c:idx val="1"/>
          <c:order val="1"/>
          <c:tx>
            <c:strRef>
              <c:f>'Results SimaPro (GF)'!$O$110</c:f>
              <c:strCache>
                <c:ptCount val="1"/>
                <c:pt idx="0">
                  <c:v>Phosphate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SimaPro (GF)'!$O$111:$O$114</c:f>
              <c:numCache>
                <c:formatCode>0%</c:formatCode>
                <c:ptCount val="4"/>
                <c:pt idx="0">
                  <c:v>0.24098775112548629</c:v>
                </c:pt>
                <c:pt idx="1">
                  <c:v>0.13646005094187305</c:v>
                </c:pt>
                <c:pt idx="2">
                  <c:v>0.12689779785207911</c:v>
                </c:pt>
                <c:pt idx="3">
                  <c:v>8.97508514167632E-2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E6-40DB-9703-9F0C31231960}"/>
            </c:ext>
          </c:extLst>
        </c:ser>
        <c:ser>
          <c:idx val="2"/>
          <c:order val="2"/>
          <c:tx>
            <c:strRef>
              <c:f>'Results SimaPro (GF)'!$P$110</c:f>
              <c:strCache>
                <c:ptCount val="1"/>
                <c:pt idx="0">
                  <c:v>Enzyme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SimaPro (GF)'!$P$111:$P$114</c:f>
              <c:numCache>
                <c:formatCode>0%</c:formatCode>
                <c:ptCount val="4"/>
                <c:pt idx="0">
                  <c:v>5.028822119134736E-4</c:v>
                </c:pt>
                <c:pt idx="1">
                  <c:v>1.7971025725621663E-5</c:v>
                </c:pt>
                <c:pt idx="2">
                  <c:v>5.5677600773166424E-3</c:v>
                </c:pt>
                <c:pt idx="3">
                  <c:v>3.9584085804681025E-3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E6-40DB-9703-9F0C31231960}"/>
            </c:ext>
          </c:extLst>
        </c:ser>
        <c:ser>
          <c:idx val="3"/>
          <c:order val="3"/>
          <c:tx>
            <c:strRef>
              <c:f>'Results SimaPro (GF)'!$Q$110</c:f>
              <c:strCache>
                <c:ptCount val="1"/>
                <c:pt idx="0">
                  <c:v>Reactor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SimaPro (GF)'!$Q$111:$Q$114</c:f>
              <c:numCache>
                <c:formatCode>0%</c:formatCode>
                <c:ptCount val="4"/>
                <c:pt idx="0">
                  <c:v>1.6956565307937082E-8</c:v>
                </c:pt>
                <c:pt idx="1">
                  <c:v>4.958038675916952E-8</c:v>
                </c:pt>
                <c:pt idx="2">
                  <c:v>1.1901081924920902E-11</c:v>
                </c:pt>
                <c:pt idx="3">
                  <c:v>6.5742233334904873E-5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E6-40DB-9703-9F0C31231960}"/>
            </c:ext>
          </c:extLst>
        </c:ser>
        <c:ser>
          <c:idx val="4"/>
          <c:order val="4"/>
          <c:tx>
            <c:strRef>
              <c:f>'Results SimaPro (GF)'!$R$110</c:f>
              <c:strCache>
                <c:ptCount val="1"/>
                <c:pt idx="0">
                  <c:v>Steam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SimaPro (GF)'!$R$111:$R$114</c:f>
              <c:numCache>
                <c:formatCode>0%</c:formatCode>
                <c:ptCount val="4"/>
                <c:pt idx="0">
                  <c:v>2.6752967275099591E-3</c:v>
                </c:pt>
                <c:pt idx="1">
                  <c:v>2.4570192349463241E-4</c:v>
                </c:pt>
                <c:pt idx="2">
                  <c:v>1.7523800182464241E-2</c:v>
                </c:pt>
                <c:pt idx="3">
                  <c:v>1.8027597669775821E-2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E6-40DB-9703-9F0C31231960}"/>
            </c:ext>
          </c:extLst>
        </c:ser>
        <c:ser>
          <c:idx val="5"/>
          <c:order val="5"/>
          <c:tx>
            <c:strRef>
              <c:f>'Results SimaPro (GF)'!$S$110</c:f>
              <c:strCache>
                <c:ptCount val="1"/>
                <c:pt idx="0">
                  <c:v>Electricity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'Results SimaPro (GF)'!$L$111:$L$114</c:f>
              <c:strCache>
                <c:ptCount val="4"/>
                <c:pt idx="0">
                  <c:v>Human health</c:v>
                </c:pt>
                <c:pt idx="1">
                  <c:v>Ecosystem quality</c:v>
                </c:pt>
                <c:pt idx="2">
                  <c:v>Climate change</c:v>
                </c:pt>
                <c:pt idx="3">
                  <c:v>Resources</c:v>
                </c:pt>
              </c:strCache>
            </c:strRef>
          </c:cat>
          <c:val>
            <c:numRef>
              <c:f>'Results SimaPro (GF)'!$S$111:$S$114</c:f>
              <c:numCache>
                <c:formatCode>0%</c:formatCode>
                <c:ptCount val="4"/>
                <c:pt idx="0">
                  <c:v>6.0877143540563677E-3</c:v>
                </c:pt>
                <c:pt idx="1">
                  <c:v>1.6689109889256723E-3</c:v>
                </c:pt>
                <c:pt idx="2">
                  <c:v>4.5085752361490559E-3</c:v>
                </c:pt>
                <c:pt idx="3">
                  <c:v>5.5982831682670651E-3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E6-40DB-9703-9F0C31231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595487"/>
        <c:axId val="1524218175"/>
      </c:barChart>
      <c:catAx>
        <c:axId val="11559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4218175"/>
        <c:crosses val="autoZero"/>
        <c:auto val="1"/>
        <c:lblAlgn val="ctr"/>
        <c:lblOffset val="100"/>
        <c:noMultiLvlLbl val="0"/>
      </c:catAx>
      <c:valAx>
        <c:axId val="1524218175"/>
        <c:scaling>
          <c:orientation val="minMax"/>
          <c:max val="1"/>
          <c:min val="-0.1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9548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3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4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5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6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7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8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9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0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2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5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0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6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8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9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0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13" Type="http://schemas.openxmlformats.org/officeDocument/2006/relationships/chart" Target="../charts/chart15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12" Type="http://schemas.openxmlformats.org/officeDocument/2006/relationships/chart" Target="../charts/chart14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11" Type="http://schemas.openxmlformats.org/officeDocument/2006/relationships/chart" Target="../charts/chart13.xml"/><Relationship Id="rId5" Type="http://schemas.openxmlformats.org/officeDocument/2006/relationships/chart" Target="../charts/chart7.xml"/><Relationship Id="rId10" Type="http://schemas.openxmlformats.org/officeDocument/2006/relationships/chart" Target="../charts/chart12.xml"/><Relationship Id="rId4" Type="http://schemas.openxmlformats.org/officeDocument/2006/relationships/chart" Target="../charts/chart6.xml"/><Relationship Id="rId9" Type="http://schemas.openxmlformats.org/officeDocument/2006/relationships/chart" Target="../charts/chart11.xml"/><Relationship Id="rId14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2.xml"/><Relationship Id="rId13" Type="http://schemas.openxmlformats.org/officeDocument/2006/relationships/chart" Target="../charts/chart57.xml"/><Relationship Id="rId3" Type="http://schemas.openxmlformats.org/officeDocument/2006/relationships/chart" Target="../charts/chart47.xml"/><Relationship Id="rId7" Type="http://schemas.openxmlformats.org/officeDocument/2006/relationships/chart" Target="../charts/chart51.xml"/><Relationship Id="rId12" Type="http://schemas.openxmlformats.org/officeDocument/2006/relationships/chart" Target="../charts/chart56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6" Type="http://schemas.openxmlformats.org/officeDocument/2006/relationships/chart" Target="../charts/chart50.xml"/><Relationship Id="rId11" Type="http://schemas.openxmlformats.org/officeDocument/2006/relationships/chart" Target="../charts/chart55.xml"/><Relationship Id="rId5" Type="http://schemas.openxmlformats.org/officeDocument/2006/relationships/chart" Target="../charts/chart49.xml"/><Relationship Id="rId10" Type="http://schemas.openxmlformats.org/officeDocument/2006/relationships/chart" Target="../charts/chart54.xml"/><Relationship Id="rId4" Type="http://schemas.openxmlformats.org/officeDocument/2006/relationships/chart" Target="../charts/chart48.xml"/><Relationship Id="rId9" Type="http://schemas.openxmlformats.org/officeDocument/2006/relationships/chart" Target="../charts/chart53.xml"/><Relationship Id="rId14" Type="http://schemas.openxmlformats.org/officeDocument/2006/relationships/chart" Target="../charts/chart58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13" Type="http://schemas.openxmlformats.org/officeDocument/2006/relationships/chart" Target="../charts/chart71.xml"/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12" Type="http://schemas.openxmlformats.org/officeDocument/2006/relationships/chart" Target="../charts/chart70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11" Type="http://schemas.openxmlformats.org/officeDocument/2006/relationships/chart" Target="../charts/chart69.xml"/><Relationship Id="rId5" Type="http://schemas.openxmlformats.org/officeDocument/2006/relationships/chart" Target="../charts/chart63.xml"/><Relationship Id="rId10" Type="http://schemas.openxmlformats.org/officeDocument/2006/relationships/chart" Target="../charts/chart68.xml"/><Relationship Id="rId4" Type="http://schemas.openxmlformats.org/officeDocument/2006/relationships/chart" Target="../charts/chart62.xml"/><Relationship Id="rId9" Type="http://schemas.openxmlformats.org/officeDocument/2006/relationships/chart" Target="../charts/chart67.xml"/><Relationship Id="rId14" Type="http://schemas.openxmlformats.org/officeDocument/2006/relationships/chart" Target="../charts/chart7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5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4" Type="http://schemas.openxmlformats.org/officeDocument/2006/relationships/chart" Target="../charts/chart7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9.xml"/><Relationship Id="rId2" Type="http://schemas.openxmlformats.org/officeDocument/2006/relationships/chart" Target="../charts/chart78.xml"/><Relationship Id="rId1" Type="http://schemas.openxmlformats.org/officeDocument/2006/relationships/chart" Target="../charts/chart77.xml"/><Relationship Id="rId4" Type="http://schemas.openxmlformats.org/officeDocument/2006/relationships/chart" Target="../charts/chart8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436563</xdr:colOff>
      <xdr:row>155</xdr:row>
      <xdr:rowOff>47625</xdr:rowOff>
    </xdr:from>
    <xdr:to>
      <xdr:col>7</xdr:col>
      <xdr:colOff>1049529</xdr:colOff>
      <xdr:row>160</xdr:row>
      <xdr:rowOff>15875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9FFAF9-03F5-4176-9A57-BDC519663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4863" y="30127575"/>
          <a:ext cx="3654616" cy="89535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4</xdr:col>
      <xdr:colOff>520700</xdr:colOff>
      <xdr:row>180</xdr:row>
      <xdr:rowOff>19050</xdr:rowOff>
    </xdr:from>
    <xdr:to>
      <xdr:col>7</xdr:col>
      <xdr:colOff>330347</xdr:colOff>
      <xdr:row>184</xdr:row>
      <xdr:rowOff>127043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42C340-EF13-4E67-8BD4-D68E77B9F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99000" y="34861500"/>
          <a:ext cx="2851297" cy="84459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15</xdr:col>
      <xdr:colOff>589642</xdr:colOff>
      <xdr:row>118</xdr:row>
      <xdr:rowOff>0</xdr:rowOff>
    </xdr:from>
    <xdr:to>
      <xdr:col>19</xdr:col>
      <xdr:colOff>289528</xdr:colOff>
      <xdr:row>132</xdr:row>
      <xdr:rowOff>85648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3F08890-3227-43B3-89C5-C15F6A357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444500</xdr:colOff>
      <xdr:row>118</xdr:row>
      <xdr:rowOff>0</xdr:rowOff>
    </xdr:from>
    <xdr:to>
      <xdr:col>23</xdr:col>
      <xdr:colOff>670530</xdr:colOff>
      <xdr:row>132</xdr:row>
      <xdr:rowOff>85648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ED26D16-848A-4436-8752-276DEF746F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1</xdr:colOff>
      <xdr:row>1</xdr:row>
      <xdr:rowOff>0</xdr:rowOff>
    </xdr:from>
    <xdr:to>
      <xdr:col>10</xdr:col>
      <xdr:colOff>619126</xdr:colOff>
      <xdr:row>16</xdr:row>
      <xdr:rowOff>37756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66CB808-F63A-47EA-9AC1-A75B01015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162301" y="184150"/>
          <a:ext cx="10836275" cy="2800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105834</xdr:colOff>
      <xdr:row>6</xdr:row>
      <xdr:rowOff>137583</xdr:rowOff>
    </xdr:from>
    <xdr:to>
      <xdr:col>29</xdr:col>
      <xdr:colOff>503099</xdr:colOff>
      <xdr:row>22</xdr:row>
      <xdr:rowOff>176138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23E7B1-0516-4313-AB0F-14FFB0A49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78934" y="1293283"/>
          <a:ext cx="11827265" cy="328975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14</xdr:col>
      <xdr:colOff>0</xdr:colOff>
      <xdr:row>29</xdr:row>
      <xdr:rowOff>0</xdr:rowOff>
    </xdr:from>
    <xdr:to>
      <xdr:col>24</xdr:col>
      <xdr:colOff>719666</xdr:colOff>
      <xdr:row>54</xdr:row>
      <xdr:rowOff>97601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EA066D-CEF6-4C92-87F8-9FC662DD5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56833" y="5810250"/>
          <a:ext cx="8339666" cy="471193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20977</xdr:colOff>
      <xdr:row>3</xdr:row>
      <xdr:rowOff>41955</xdr:rowOff>
    </xdr:from>
    <xdr:to>
      <xdr:col>26</xdr:col>
      <xdr:colOff>465477</xdr:colOff>
      <xdr:row>19</xdr:row>
      <xdr:rowOff>11338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0D13D99-8C6B-43D5-9E08-44B22475DB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755950</xdr:colOff>
      <xdr:row>21</xdr:row>
      <xdr:rowOff>150886</xdr:rowOff>
    </xdr:from>
    <xdr:to>
      <xdr:col>28</xdr:col>
      <xdr:colOff>526143</xdr:colOff>
      <xdr:row>37</xdr:row>
      <xdr:rowOff>157236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05AC13E-BA94-4F6C-9789-1D1ED4688C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41</xdr:row>
      <xdr:rowOff>0</xdr:rowOff>
    </xdr:from>
    <xdr:to>
      <xdr:col>18</xdr:col>
      <xdr:colOff>0</xdr:colOff>
      <xdr:row>56</xdr:row>
      <xdr:rowOff>141741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D176077-6024-4177-A615-BB0FD2480B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60</xdr:row>
      <xdr:rowOff>0</xdr:rowOff>
    </xdr:from>
    <xdr:to>
      <xdr:col>20</xdr:col>
      <xdr:colOff>0</xdr:colOff>
      <xdr:row>75</xdr:row>
      <xdr:rowOff>141741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4D6FDEC-354F-4B86-8CDD-94BB10BCF6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598715</xdr:colOff>
      <xdr:row>79</xdr:row>
      <xdr:rowOff>9070</xdr:rowOff>
    </xdr:from>
    <xdr:to>
      <xdr:col>28</xdr:col>
      <xdr:colOff>471715</xdr:colOff>
      <xdr:row>94</xdr:row>
      <xdr:rowOff>169636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EAB0700-BBB0-4225-9A51-0C1A68140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542396</xdr:colOff>
      <xdr:row>98</xdr:row>
      <xdr:rowOff>141817</xdr:rowOff>
    </xdr:from>
    <xdr:to>
      <xdr:col>25</xdr:col>
      <xdr:colOff>394228</xdr:colOff>
      <xdr:row>105</xdr:row>
      <xdr:rowOff>177271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7F0D2C8-2546-4AA5-9A93-ED88634ECD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592667</xdr:colOff>
      <xdr:row>108</xdr:row>
      <xdr:rowOff>63499</xdr:rowOff>
    </xdr:from>
    <xdr:to>
      <xdr:col>26</xdr:col>
      <xdr:colOff>134559</xdr:colOff>
      <xdr:row>115</xdr:row>
      <xdr:rowOff>130703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7B5CA6D-44CF-499B-B4F1-4B91C7EDC6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0</xdr:colOff>
      <xdr:row>115</xdr:row>
      <xdr:rowOff>0</xdr:rowOff>
    </xdr:from>
    <xdr:to>
      <xdr:col>16</xdr:col>
      <xdr:colOff>905630</xdr:colOff>
      <xdr:row>122</xdr:row>
      <xdr:rowOff>26382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8C9253D1-0F53-4285-B20A-899E17A0F6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0</xdr:colOff>
      <xdr:row>123</xdr:row>
      <xdr:rowOff>0</xdr:rowOff>
    </xdr:from>
    <xdr:to>
      <xdr:col>18</xdr:col>
      <xdr:colOff>751416</xdr:colOff>
      <xdr:row>130</xdr:row>
      <xdr:rowOff>26382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84CCEF0E-193A-4205-8408-36E73E873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644072</xdr:colOff>
      <xdr:row>131</xdr:row>
      <xdr:rowOff>9072</xdr:rowOff>
    </xdr:from>
    <xdr:to>
      <xdr:col>25</xdr:col>
      <xdr:colOff>315989</xdr:colOff>
      <xdr:row>138</xdr:row>
      <xdr:rowOff>44525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F15A2B15-C46E-4E3C-87E5-E9AF9241A5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30</xdr:col>
      <xdr:colOff>866320</xdr:colOff>
      <xdr:row>16</xdr:row>
      <xdr:rowOff>142119</xdr:rowOff>
    </xdr:from>
    <xdr:to>
      <xdr:col>36</xdr:col>
      <xdr:colOff>80130</xdr:colOff>
      <xdr:row>29</xdr:row>
      <xdr:rowOff>175987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9FCB8FB5-C1BD-430B-919E-0DD0E26DF4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38</xdr:col>
      <xdr:colOff>299357</xdr:colOff>
      <xdr:row>16</xdr:row>
      <xdr:rowOff>172356</xdr:rowOff>
    </xdr:from>
    <xdr:to>
      <xdr:col>43</xdr:col>
      <xdr:colOff>501953</xdr:colOff>
      <xdr:row>30</xdr:row>
      <xdr:rowOff>24795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FD16D4D-699D-4679-B6BC-1347B4D40B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37</xdr:col>
      <xdr:colOff>689429</xdr:colOff>
      <xdr:row>81</xdr:row>
      <xdr:rowOff>18142</xdr:rowOff>
    </xdr:from>
    <xdr:to>
      <xdr:col>43</xdr:col>
      <xdr:colOff>130025</xdr:colOff>
      <xdr:row>95</xdr:row>
      <xdr:rowOff>52010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F2745004-E16C-4DDE-9D91-EE23B2B4DD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30</xdr:col>
      <xdr:colOff>371928</xdr:colOff>
      <xdr:row>81</xdr:row>
      <xdr:rowOff>36286</xdr:rowOff>
    </xdr:from>
    <xdr:to>
      <xdr:col>35</xdr:col>
      <xdr:colOff>347738</xdr:colOff>
      <xdr:row>95</xdr:row>
      <xdr:rowOff>70154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C32AA7DF-01E5-45BD-85A9-4182A5CB46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20977</xdr:colOff>
      <xdr:row>3</xdr:row>
      <xdr:rowOff>41955</xdr:rowOff>
    </xdr:from>
    <xdr:to>
      <xdr:col>26</xdr:col>
      <xdr:colOff>465477</xdr:colOff>
      <xdr:row>19</xdr:row>
      <xdr:rowOff>11338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4198617-F585-4480-A6C6-D1E967D47D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755950</xdr:colOff>
      <xdr:row>21</xdr:row>
      <xdr:rowOff>150886</xdr:rowOff>
    </xdr:from>
    <xdr:to>
      <xdr:col>28</xdr:col>
      <xdr:colOff>589643</xdr:colOff>
      <xdr:row>37</xdr:row>
      <xdr:rowOff>157236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2492350-B60C-4AF8-96FE-0A1CF7EE50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41</xdr:row>
      <xdr:rowOff>0</xdr:rowOff>
    </xdr:from>
    <xdr:to>
      <xdr:col>18</xdr:col>
      <xdr:colOff>0</xdr:colOff>
      <xdr:row>56</xdr:row>
      <xdr:rowOff>141741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E1F6D6F-BCC3-4667-B148-C1FD6368FD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60</xdr:row>
      <xdr:rowOff>0</xdr:rowOff>
    </xdr:from>
    <xdr:to>
      <xdr:col>20</xdr:col>
      <xdr:colOff>0</xdr:colOff>
      <xdr:row>75</xdr:row>
      <xdr:rowOff>141741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D97A501-D659-4239-A4CA-5C79BD57AD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598715</xdr:colOff>
      <xdr:row>79</xdr:row>
      <xdr:rowOff>9070</xdr:rowOff>
    </xdr:from>
    <xdr:to>
      <xdr:col>28</xdr:col>
      <xdr:colOff>508001</xdr:colOff>
      <xdr:row>94</xdr:row>
      <xdr:rowOff>169636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E0782C4-FCBD-48C1-9E87-1DF8E7F46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542396</xdr:colOff>
      <xdr:row>98</xdr:row>
      <xdr:rowOff>141817</xdr:rowOff>
    </xdr:from>
    <xdr:to>
      <xdr:col>25</xdr:col>
      <xdr:colOff>394228</xdr:colOff>
      <xdr:row>105</xdr:row>
      <xdr:rowOff>177271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87644D4-BAAC-4F74-A91F-975160F104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592667</xdr:colOff>
      <xdr:row>108</xdr:row>
      <xdr:rowOff>63499</xdr:rowOff>
    </xdr:from>
    <xdr:to>
      <xdr:col>26</xdr:col>
      <xdr:colOff>134559</xdr:colOff>
      <xdr:row>115</xdr:row>
      <xdr:rowOff>130703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BE4D06D3-A88B-4B85-AEA6-802E8BDE64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0</xdr:colOff>
      <xdr:row>115</xdr:row>
      <xdr:rowOff>0</xdr:rowOff>
    </xdr:from>
    <xdr:to>
      <xdr:col>16</xdr:col>
      <xdr:colOff>905630</xdr:colOff>
      <xdr:row>122</xdr:row>
      <xdr:rowOff>26382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89549B76-D4B8-47BF-BD37-48DE8074C9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0</xdr:colOff>
      <xdr:row>123</xdr:row>
      <xdr:rowOff>0</xdr:rowOff>
    </xdr:from>
    <xdr:to>
      <xdr:col>18</xdr:col>
      <xdr:colOff>751416</xdr:colOff>
      <xdr:row>130</xdr:row>
      <xdr:rowOff>26382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A3FDCE05-90C2-416C-8E1D-62FDE72560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644072</xdr:colOff>
      <xdr:row>131</xdr:row>
      <xdr:rowOff>9072</xdr:rowOff>
    </xdr:from>
    <xdr:to>
      <xdr:col>25</xdr:col>
      <xdr:colOff>315989</xdr:colOff>
      <xdr:row>138</xdr:row>
      <xdr:rowOff>44525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ABDCD9F3-8834-44E5-91A9-AA69A1E75F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30</xdr:col>
      <xdr:colOff>866320</xdr:colOff>
      <xdr:row>16</xdr:row>
      <xdr:rowOff>142119</xdr:rowOff>
    </xdr:from>
    <xdr:to>
      <xdr:col>36</xdr:col>
      <xdr:colOff>80130</xdr:colOff>
      <xdr:row>29</xdr:row>
      <xdr:rowOff>175987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73FC4A2E-E6ED-4B88-99A0-40B0F9ABFF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38</xdr:col>
      <xdr:colOff>299357</xdr:colOff>
      <xdr:row>16</xdr:row>
      <xdr:rowOff>172356</xdr:rowOff>
    </xdr:from>
    <xdr:to>
      <xdr:col>43</xdr:col>
      <xdr:colOff>501953</xdr:colOff>
      <xdr:row>30</xdr:row>
      <xdr:rowOff>24795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FF6BC655-A8F5-432F-A498-712A64DEDB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37</xdr:col>
      <xdr:colOff>689429</xdr:colOff>
      <xdr:row>81</xdr:row>
      <xdr:rowOff>18142</xdr:rowOff>
    </xdr:from>
    <xdr:to>
      <xdr:col>43</xdr:col>
      <xdr:colOff>130025</xdr:colOff>
      <xdr:row>95</xdr:row>
      <xdr:rowOff>52010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AED9AF5D-0DAA-4D5B-8E67-91D177B9A8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30</xdr:col>
      <xdr:colOff>371928</xdr:colOff>
      <xdr:row>81</xdr:row>
      <xdr:rowOff>36286</xdr:rowOff>
    </xdr:from>
    <xdr:to>
      <xdr:col>35</xdr:col>
      <xdr:colOff>347738</xdr:colOff>
      <xdr:row>95</xdr:row>
      <xdr:rowOff>70154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5BC611E5-DA3D-42FC-8EE2-EDB84E323D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20977</xdr:colOff>
      <xdr:row>3</xdr:row>
      <xdr:rowOff>41955</xdr:rowOff>
    </xdr:from>
    <xdr:to>
      <xdr:col>26</xdr:col>
      <xdr:colOff>465477</xdr:colOff>
      <xdr:row>19</xdr:row>
      <xdr:rowOff>11338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2D279AF-8D8F-426D-AC88-B56B7A3983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755950</xdr:colOff>
      <xdr:row>21</xdr:row>
      <xdr:rowOff>150886</xdr:rowOff>
    </xdr:from>
    <xdr:to>
      <xdr:col>28</xdr:col>
      <xdr:colOff>589643</xdr:colOff>
      <xdr:row>37</xdr:row>
      <xdr:rowOff>157236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E66D4B8-787E-46D5-B2B5-D1DCB1EE0E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41</xdr:row>
      <xdr:rowOff>0</xdr:rowOff>
    </xdr:from>
    <xdr:to>
      <xdr:col>18</xdr:col>
      <xdr:colOff>0</xdr:colOff>
      <xdr:row>56</xdr:row>
      <xdr:rowOff>141741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65486BF-A85A-4C24-B9A8-4FF39DBB43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60</xdr:row>
      <xdr:rowOff>0</xdr:rowOff>
    </xdr:from>
    <xdr:to>
      <xdr:col>20</xdr:col>
      <xdr:colOff>0</xdr:colOff>
      <xdr:row>75</xdr:row>
      <xdr:rowOff>141741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ADC1C96-6783-4685-9660-9D0513F67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598715</xdr:colOff>
      <xdr:row>79</xdr:row>
      <xdr:rowOff>9070</xdr:rowOff>
    </xdr:from>
    <xdr:to>
      <xdr:col>28</xdr:col>
      <xdr:colOff>508001</xdr:colOff>
      <xdr:row>94</xdr:row>
      <xdr:rowOff>169636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6BB0118-A688-420A-BCB8-863BB36F20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542396</xdr:colOff>
      <xdr:row>98</xdr:row>
      <xdr:rowOff>141817</xdr:rowOff>
    </xdr:from>
    <xdr:to>
      <xdr:col>25</xdr:col>
      <xdr:colOff>394228</xdr:colOff>
      <xdr:row>105</xdr:row>
      <xdr:rowOff>177271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E998F04-5B52-490C-837F-8112B8D3B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592667</xdr:colOff>
      <xdr:row>108</xdr:row>
      <xdr:rowOff>63499</xdr:rowOff>
    </xdr:from>
    <xdr:to>
      <xdr:col>26</xdr:col>
      <xdr:colOff>134559</xdr:colOff>
      <xdr:row>115</xdr:row>
      <xdr:rowOff>130703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7BF70358-4A40-4CE3-BB99-DF29E0444B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0</xdr:colOff>
      <xdr:row>115</xdr:row>
      <xdr:rowOff>0</xdr:rowOff>
    </xdr:from>
    <xdr:to>
      <xdr:col>16</xdr:col>
      <xdr:colOff>905630</xdr:colOff>
      <xdr:row>122</xdr:row>
      <xdr:rowOff>26382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3E6784E8-997E-4C7A-BF8F-27584DCE68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0</xdr:colOff>
      <xdr:row>123</xdr:row>
      <xdr:rowOff>0</xdr:rowOff>
    </xdr:from>
    <xdr:to>
      <xdr:col>18</xdr:col>
      <xdr:colOff>751416</xdr:colOff>
      <xdr:row>130</xdr:row>
      <xdr:rowOff>26382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8A7BB8C-D955-4061-B49D-0E7CF26FDB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644072</xdr:colOff>
      <xdr:row>131</xdr:row>
      <xdr:rowOff>9072</xdr:rowOff>
    </xdr:from>
    <xdr:to>
      <xdr:col>25</xdr:col>
      <xdr:colOff>315989</xdr:colOff>
      <xdr:row>138</xdr:row>
      <xdr:rowOff>44525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DD298EC-EF7B-4DB2-8389-E2E7F444D6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30</xdr:col>
      <xdr:colOff>866320</xdr:colOff>
      <xdr:row>16</xdr:row>
      <xdr:rowOff>142119</xdr:rowOff>
    </xdr:from>
    <xdr:to>
      <xdr:col>36</xdr:col>
      <xdr:colOff>80130</xdr:colOff>
      <xdr:row>29</xdr:row>
      <xdr:rowOff>175987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8DDA882B-0DA0-4833-926F-276DC3C4FD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38</xdr:col>
      <xdr:colOff>299357</xdr:colOff>
      <xdr:row>16</xdr:row>
      <xdr:rowOff>172356</xdr:rowOff>
    </xdr:from>
    <xdr:to>
      <xdr:col>43</xdr:col>
      <xdr:colOff>501953</xdr:colOff>
      <xdr:row>30</xdr:row>
      <xdr:rowOff>24795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A99F2CCC-1F9F-4937-8DA7-4D71CCA985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37</xdr:col>
      <xdr:colOff>689429</xdr:colOff>
      <xdr:row>81</xdr:row>
      <xdr:rowOff>18142</xdr:rowOff>
    </xdr:from>
    <xdr:to>
      <xdr:col>43</xdr:col>
      <xdr:colOff>130025</xdr:colOff>
      <xdr:row>95</xdr:row>
      <xdr:rowOff>52010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B6F0DC53-0C8D-441E-A005-C049D637C3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30</xdr:col>
      <xdr:colOff>371928</xdr:colOff>
      <xdr:row>81</xdr:row>
      <xdr:rowOff>36286</xdr:rowOff>
    </xdr:from>
    <xdr:to>
      <xdr:col>35</xdr:col>
      <xdr:colOff>347738</xdr:colOff>
      <xdr:row>95</xdr:row>
      <xdr:rowOff>70154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72DB945C-AEED-4086-AF73-90BA0860D0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20977</xdr:colOff>
      <xdr:row>3</xdr:row>
      <xdr:rowOff>41955</xdr:rowOff>
    </xdr:from>
    <xdr:to>
      <xdr:col>26</xdr:col>
      <xdr:colOff>465477</xdr:colOff>
      <xdr:row>19</xdr:row>
      <xdr:rowOff>11338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305346D-F0C1-4636-A908-7398867086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755950</xdr:colOff>
      <xdr:row>21</xdr:row>
      <xdr:rowOff>150886</xdr:rowOff>
    </xdr:from>
    <xdr:to>
      <xdr:col>28</xdr:col>
      <xdr:colOff>589643</xdr:colOff>
      <xdr:row>37</xdr:row>
      <xdr:rowOff>157236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3E655B8-BCBC-4AF8-89C0-C1C670808A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41</xdr:row>
      <xdr:rowOff>0</xdr:rowOff>
    </xdr:from>
    <xdr:to>
      <xdr:col>18</xdr:col>
      <xdr:colOff>0</xdr:colOff>
      <xdr:row>56</xdr:row>
      <xdr:rowOff>141741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270E9B7-7E88-4F27-903A-A6A9C7505F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60</xdr:row>
      <xdr:rowOff>0</xdr:rowOff>
    </xdr:from>
    <xdr:to>
      <xdr:col>20</xdr:col>
      <xdr:colOff>0</xdr:colOff>
      <xdr:row>75</xdr:row>
      <xdr:rowOff>141741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10776B4-DFB2-422E-950C-4F6EC86995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598715</xdr:colOff>
      <xdr:row>79</xdr:row>
      <xdr:rowOff>9070</xdr:rowOff>
    </xdr:from>
    <xdr:to>
      <xdr:col>28</xdr:col>
      <xdr:colOff>508001</xdr:colOff>
      <xdr:row>94</xdr:row>
      <xdr:rowOff>169636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1E36E91-2F77-4A47-A56B-01B0883458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542396</xdr:colOff>
      <xdr:row>98</xdr:row>
      <xdr:rowOff>141817</xdr:rowOff>
    </xdr:from>
    <xdr:to>
      <xdr:col>25</xdr:col>
      <xdr:colOff>394228</xdr:colOff>
      <xdr:row>105</xdr:row>
      <xdr:rowOff>177271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919D997-8B0D-4D00-9D11-571B089F22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592667</xdr:colOff>
      <xdr:row>108</xdr:row>
      <xdr:rowOff>63499</xdr:rowOff>
    </xdr:from>
    <xdr:to>
      <xdr:col>26</xdr:col>
      <xdr:colOff>134559</xdr:colOff>
      <xdr:row>115</xdr:row>
      <xdr:rowOff>130703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D874153-3E03-4EBB-8DD5-4F2F2EBBE2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0</xdr:colOff>
      <xdr:row>115</xdr:row>
      <xdr:rowOff>0</xdr:rowOff>
    </xdr:from>
    <xdr:to>
      <xdr:col>16</xdr:col>
      <xdr:colOff>905630</xdr:colOff>
      <xdr:row>122</xdr:row>
      <xdr:rowOff>26382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65861173-AE2F-4A80-86AD-47F819A58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0</xdr:colOff>
      <xdr:row>123</xdr:row>
      <xdr:rowOff>0</xdr:rowOff>
    </xdr:from>
    <xdr:to>
      <xdr:col>18</xdr:col>
      <xdr:colOff>751416</xdr:colOff>
      <xdr:row>130</xdr:row>
      <xdr:rowOff>26382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C02F1A50-934D-4EA1-9F58-5AAB0CBF76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644072</xdr:colOff>
      <xdr:row>131</xdr:row>
      <xdr:rowOff>9072</xdr:rowOff>
    </xdr:from>
    <xdr:to>
      <xdr:col>25</xdr:col>
      <xdr:colOff>315989</xdr:colOff>
      <xdr:row>138</xdr:row>
      <xdr:rowOff>44525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D9C0C952-DAA2-4D47-8BFF-77BEE79045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30</xdr:col>
      <xdr:colOff>866320</xdr:colOff>
      <xdr:row>16</xdr:row>
      <xdr:rowOff>142119</xdr:rowOff>
    </xdr:from>
    <xdr:to>
      <xdr:col>36</xdr:col>
      <xdr:colOff>80130</xdr:colOff>
      <xdr:row>29</xdr:row>
      <xdr:rowOff>175987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D3FCECAC-FB73-4801-BF7F-13A242E4A7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38</xdr:col>
      <xdr:colOff>299357</xdr:colOff>
      <xdr:row>16</xdr:row>
      <xdr:rowOff>172356</xdr:rowOff>
    </xdr:from>
    <xdr:to>
      <xdr:col>43</xdr:col>
      <xdr:colOff>501953</xdr:colOff>
      <xdr:row>30</xdr:row>
      <xdr:rowOff>24795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34B1354E-B020-4080-A98F-3900DBFAA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37</xdr:col>
      <xdr:colOff>689429</xdr:colOff>
      <xdr:row>81</xdr:row>
      <xdr:rowOff>18142</xdr:rowOff>
    </xdr:from>
    <xdr:to>
      <xdr:col>43</xdr:col>
      <xdr:colOff>130025</xdr:colOff>
      <xdr:row>95</xdr:row>
      <xdr:rowOff>52010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3B01F34B-BF96-4972-87B1-41622198B1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30</xdr:col>
      <xdr:colOff>371928</xdr:colOff>
      <xdr:row>81</xdr:row>
      <xdr:rowOff>36286</xdr:rowOff>
    </xdr:from>
    <xdr:to>
      <xdr:col>35</xdr:col>
      <xdr:colOff>347738</xdr:colOff>
      <xdr:row>95</xdr:row>
      <xdr:rowOff>70154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5C3B9394-CCD1-4CF0-A865-659E8B7CE0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20977</xdr:colOff>
      <xdr:row>3</xdr:row>
      <xdr:rowOff>41955</xdr:rowOff>
    </xdr:from>
    <xdr:to>
      <xdr:col>26</xdr:col>
      <xdr:colOff>465477</xdr:colOff>
      <xdr:row>19</xdr:row>
      <xdr:rowOff>11338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23F8853-986B-4B01-86D4-82201EA713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755950</xdr:colOff>
      <xdr:row>21</xdr:row>
      <xdr:rowOff>150886</xdr:rowOff>
    </xdr:from>
    <xdr:to>
      <xdr:col>28</xdr:col>
      <xdr:colOff>589643</xdr:colOff>
      <xdr:row>37</xdr:row>
      <xdr:rowOff>157236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755AB1B-9D2D-4450-AFD9-7E59E3FEDC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41</xdr:row>
      <xdr:rowOff>0</xdr:rowOff>
    </xdr:from>
    <xdr:to>
      <xdr:col>18</xdr:col>
      <xdr:colOff>0</xdr:colOff>
      <xdr:row>56</xdr:row>
      <xdr:rowOff>141741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74533E4-66F4-4918-9849-B83B92D696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60</xdr:row>
      <xdr:rowOff>0</xdr:rowOff>
    </xdr:from>
    <xdr:to>
      <xdr:col>20</xdr:col>
      <xdr:colOff>0</xdr:colOff>
      <xdr:row>75</xdr:row>
      <xdr:rowOff>141741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8C697DB-649B-43E5-B47E-7DAF9A6BAA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598715</xdr:colOff>
      <xdr:row>79</xdr:row>
      <xdr:rowOff>9070</xdr:rowOff>
    </xdr:from>
    <xdr:to>
      <xdr:col>28</xdr:col>
      <xdr:colOff>508001</xdr:colOff>
      <xdr:row>94</xdr:row>
      <xdr:rowOff>169636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EFD4220-32F8-4287-BE26-705D8AF00F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542396</xdr:colOff>
      <xdr:row>98</xdr:row>
      <xdr:rowOff>141817</xdr:rowOff>
    </xdr:from>
    <xdr:to>
      <xdr:col>25</xdr:col>
      <xdr:colOff>394228</xdr:colOff>
      <xdr:row>105</xdr:row>
      <xdr:rowOff>177271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69A7196-F5B6-410B-B02B-C39337C15B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592667</xdr:colOff>
      <xdr:row>108</xdr:row>
      <xdr:rowOff>63499</xdr:rowOff>
    </xdr:from>
    <xdr:to>
      <xdr:col>26</xdr:col>
      <xdr:colOff>134559</xdr:colOff>
      <xdr:row>115</xdr:row>
      <xdr:rowOff>130703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54FF0D4-32D3-482F-854A-AFEE3863AE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0</xdr:colOff>
      <xdr:row>115</xdr:row>
      <xdr:rowOff>0</xdr:rowOff>
    </xdr:from>
    <xdr:to>
      <xdr:col>16</xdr:col>
      <xdr:colOff>905630</xdr:colOff>
      <xdr:row>122</xdr:row>
      <xdr:rowOff>26382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DDD3251B-10D8-4208-88E8-0E117EE92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0</xdr:colOff>
      <xdr:row>123</xdr:row>
      <xdr:rowOff>0</xdr:rowOff>
    </xdr:from>
    <xdr:to>
      <xdr:col>18</xdr:col>
      <xdr:colOff>751416</xdr:colOff>
      <xdr:row>130</xdr:row>
      <xdr:rowOff>26382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F0683550-A21D-4B21-AB60-BEBB7F4E62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644072</xdr:colOff>
      <xdr:row>131</xdr:row>
      <xdr:rowOff>9072</xdr:rowOff>
    </xdr:from>
    <xdr:to>
      <xdr:col>25</xdr:col>
      <xdr:colOff>315989</xdr:colOff>
      <xdr:row>138</xdr:row>
      <xdr:rowOff>44525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342EDB25-7B69-4E82-A819-CA99685F6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30</xdr:col>
      <xdr:colOff>866320</xdr:colOff>
      <xdr:row>16</xdr:row>
      <xdr:rowOff>142119</xdr:rowOff>
    </xdr:from>
    <xdr:to>
      <xdr:col>36</xdr:col>
      <xdr:colOff>80130</xdr:colOff>
      <xdr:row>29</xdr:row>
      <xdr:rowOff>175987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414D77FE-C879-4E82-9221-66AB23201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38</xdr:col>
      <xdr:colOff>299357</xdr:colOff>
      <xdr:row>16</xdr:row>
      <xdr:rowOff>172356</xdr:rowOff>
    </xdr:from>
    <xdr:to>
      <xdr:col>43</xdr:col>
      <xdr:colOff>501953</xdr:colOff>
      <xdr:row>30</xdr:row>
      <xdr:rowOff>24795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3271F23-C189-4BF7-8748-3B04AEE37F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37</xdr:col>
      <xdr:colOff>689429</xdr:colOff>
      <xdr:row>81</xdr:row>
      <xdr:rowOff>18142</xdr:rowOff>
    </xdr:from>
    <xdr:to>
      <xdr:col>43</xdr:col>
      <xdr:colOff>130025</xdr:colOff>
      <xdr:row>95</xdr:row>
      <xdr:rowOff>52010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70382226-81E1-45F9-AFAB-30D9A88D14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30</xdr:col>
      <xdr:colOff>371928</xdr:colOff>
      <xdr:row>81</xdr:row>
      <xdr:rowOff>36286</xdr:rowOff>
    </xdr:from>
    <xdr:to>
      <xdr:col>35</xdr:col>
      <xdr:colOff>347738</xdr:colOff>
      <xdr:row>95</xdr:row>
      <xdr:rowOff>70154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D799858F-237A-4DD3-B7C4-6E5B166EAC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718344</xdr:colOff>
      <xdr:row>0</xdr:row>
      <xdr:rowOff>148431</xdr:rowOff>
    </xdr:from>
    <xdr:to>
      <xdr:col>18</xdr:col>
      <xdr:colOff>718344</xdr:colOff>
      <xdr:row>13</xdr:row>
      <xdr:rowOff>200818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4BDC986-60D1-449F-A636-5BEFAAACE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714375</xdr:colOff>
      <xdr:row>14</xdr:row>
      <xdr:rowOff>31751</xdr:rowOff>
    </xdr:from>
    <xdr:to>
      <xdr:col>18</xdr:col>
      <xdr:colOff>714375</xdr:colOff>
      <xdr:row>27</xdr:row>
      <xdr:rowOff>147639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2738D4A-E6C1-4BE4-AC2B-A1EB13DD92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718344</xdr:colOff>
      <xdr:row>31</xdr:row>
      <xdr:rowOff>148431</xdr:rowOff>
    </xdr:from>
    <xdr:to>
      <xdr:col>18</xdr:col>
      <xdr:colOff>718344</xdr:colOff>
      <xdr:row>44</xdr:row>
      <xdr:rowOff>200818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F2C14F6-AFB3-4280-AB35-1761CCDDD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714375</xdr:colOff>
      <xdr:row>45</xdr:row>
      <xdr:rowOff>31751</xdr:rowOff>
    </xdr:from>
    <xdr:to>
      <xdr:col>18</xdr:col>
      <xdr:colOff>714375</xdr:colOff>
      <xdr:row>58</xdr:row>
      <xdr:rowOff>147639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E8A3843-56C5-49A4-91A3-0417BC8F45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718344</xdr:colOff>
      <xdr:row>0</xdr:row>
      <xdr:rowOff>148431</xdr:rowOff>
    </xdr:from>
    <xdr:to>
      <xdr:col>18</xdr:col>
      <xdr:colOff>718344</xdr:colOff>
      <xdr:row>13</xdr:row>
      <xdr:rowOff>200818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B6D992D-18CE-460C-9E82-4545828936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714375</xdr:colOff>
      <xdr:row>14</xdr:row>
      <xdr:rowOff>31751</xdr:rowOff>
    </xdr:from>
    <xdr:to>
      <xdr:col>18</xdr:col>
      <xdr:colOff>714375</xdr:colOff>
      <xdr:row>27</xdr:row>
      <xdr:rowOff>147639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285F87D-C865-4FD3-93F1-D0F6439BE1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718344</xdr:colOff>
      <xdr:row>31</xdr:row>
      <xdr:rowOff>148431</xdr:rowOff>
    </xdr:from>
    <xdr:to>
      <xdr:col>18</xdr:col>
      <xdr:colOff>718344</xdr:colOff>
      <xdr:row>44</xdr:row>
      <xdr:rowOff>200818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F46A936-9E90-49D7-8BC1-2CD7197AA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714375</xdr:colOff>
      <xdr:row>45</xdr:row>
      <xdr:rowOff>31751</xdr:rowOff>
    </xdr:from>
    <xdr:to>
      <xdr:col>18</xdr:col>
      <xdr:colOff>714375</xdr:colOff>
      <xdr:row>58</xdr:row>
      <xdr:rowOff>147639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C280E3F-AC00-42D8-B309-9A128AE188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ena/Dropbox/Doctorado/Analisis%20tecnoeconomico/GREENFARM/Final/GREENFARM%20BUENO%20FINAL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nsibilidad proceso 1"/>
      <sheetName val="Sensibilidad proceso 2"/>
      <sheetName val="Sensibilidad proceso 3"/>
      <sheetName val="Escenario 3 (acet) (3)"/>
      <sheetName val="Sensibilidad proceso 4"/>
      <sheetName val="Graficas"/>
      <sheetName val="Graficas (OK)"/>
      <sheetName val="Escenario 1"/>
      <sheetName val="Escenario 2"/>
      <sheetName val="Escenario 3 (acet)"/>
      <sheetName val="Escenario 4 (acet)"/>
      <sheetName val="Escenario 3 (acet) (2)"/>
      <sheetName val="Escenario 4 (acet) (2)"/>
      <sheetName val="AS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69">
          <cell r="C69">
            <v>4</v>
          </cell>
          <cell r="E69">
            <v>6774</v>
          </cell>
        </row>
        <row r="70">
          <cell r="C70">
            <v>200</v>
          </cell>
          <cell r="E70">
            <v>2822.5</v>
          </cell>
        </row>
        <row r="71">
          <cell r="C71">
            <v>4</v>
          </cell>
          <cell r="E71">
            <v>564.5</v>
          </cell>
        </row>
        <row r="72">
          <cell r="C72">
            <v>200</v>
          </cell>
          <cell r="E72">
            <v>10000</v>
          </cell>
        </row>
        <row r="73">
          <cell r="C73">
            <v>1</v>
          </cell>
          <cell r="E73">
            <v>564.5</v>
          </cell>
        </row>
        <row r="90">
          <cell r="K90">
            <v>0.38</v>
          </cell>
        </row>
        <row r="91">
          <cell r="C91">
            <v>50</v>
          </cell>
          <cell r="K91">
            <v>0.12</v>
          </cell>
        </row>
        <row r="92">
          <cell r="C92">
            <v>0.05</v>
          </cell>
          <cell r="K92">
            <v>0.31</v>
          </cell>
        </row>
        <row r="93">
          <cell r="C93">
            <v>0.1</v>
          </cell>
          <cell r="K93">
            <v>0.1</v>
          </cell>
        </row>
        <row r="94">
          <cell r="C94">
            <v>0.3</v>
          </cell>
          <cell r="K94">
            <v>0.28999999999999998</v>
          </cell>
        </row>
        <row r="95">
          <cell r="C95">
            <v>0.25</v>
          </cell>
          <cell r="K95">
            <v>0.1</v>
          </cell>
        </row>
        <row r="96">
          <cell r="C96">
            <v>10</v>
          </cell>
          <cell r="K96">
            <v>0.54</v>
          </cell>
        </row>
        <row r="97">
          <cell r="C97">
            <v>0.05</v>
          </cell>
          <cell r="K97">
            <v>0.06</v>
          </cell>
        </row>
        <row r="98">
          <cell r="C98">
            <v>0.5</v>
          </cell>
          <cell r="K98">
            <v>0.32</v>
          </cell>
        </row>
        <row r="99">
          <cell r="K99">
            <v>0.34</v>
          </cell>
        </row>
        <row r="100">
          <cell r="K100">
            <v>0.18</v>
          </cell>
        </row>
        <row r="101">
          <cell r="K101">
            <v>0.36</v>
          </cell>
        </row>
        <row r="156">
          <cell r="L156">
            <v>1.0668796358465495</v>
          </cell>
        </row>
        <row r="157">
          <cell r="L157">
            <v>0.23713812582161542</v>
          </cell>
        </row>
        <row r="158">
          <cell r="L158">
            <v>0.47435173542856934</v>
          </cell>
        </row>
        <row r="160">
          <cell r="M160">
            <v>1.028125</v>
          </cell>
          <cell r="O160">
            <v>6.3849999999999998</v>
          </cell>
          <cell r="Q160">
            <v>6.3849999999999998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ELENA MARIA ROJO DE BENITO" id="{12E31005-B064-411B-B6C7-6142AA2348E0}" userId="ELENA MARIA ROJO DE BENITO" providerId="None"/>
  <person displayName="ELENA MARIA ROJO DE BENITO" id="{488BA2F0-3063-4E72-A61A-FC0069824A60}" userId="S::elenamaria.rojo@uva.es::8e30a15a-038a-4d57-a480-80842eddf8f1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4" dT="2022-10-07T10:03:16.63" personId="{12E31005-B064-411B-B6C7-6142AA2348E0}" id="{DA9E75E2-4181-4519-9E9B-1752EDA52E3F}">
    <text>Excel Rubén (datos Almería?)</text>
  </threadedComment>
  <threadedComment ref="F18" dT="2022-10-10T17:02:21.52" personId="{488BA2F0-3063-4E72-A61A-FC0069824A60}" id="{83D4A120-F6EE-49BF-8030-0B5966C67D7F}">
    <text>Mismas concentraciones que Q7 y Q8</text>
  </threadedComment>
  <threadedComment ref="J18" dT="2022-10-10T16:21:30.04" personId="{488BA2F0-3063-4E72-A61A-FC0069824A60}" id="{8519A8E7-6E22-4980-84F3-3A6D1041BBAD}">
    <text>Concentraciones igual que la purga (para sacar los flujos másicos)</text>
  </threadedComment>
  <threadedComment ref="Q18" dT="2022-10-05T15:11:06.40" personId="{488BA2F0-3063-4E72-A61A-FC0069824A60}" id="{B8737F6C-86F9-4C50-9A07-E37D0F53C376}">
    <text>Artículo Javiera</text>
  </threadedComment>
  <threadedComment ref="U18" dT="2022-10-05T18:06:29.31" personId="{488BA2F0-3063-4E72-A61A-FC0069824A60}" id="{87AFD864-06C1-4D45-A3AE-18285135D76C}">
    <text>Del Excel de Rubén</text>
  </threadedComment>
  <threadedComment ref="G20" dT="2022-10-10T15:48:57.77" personId="{488BA2F0-3063-4E72-A61A-FC0069824A60}" id="{2BCB8177-1633-4A0F-AA2D-E9A80360386C}">
    <text>La entrada al reactor tiene que ser una dilución del purín del 10%</text>
  </threadedComment>
  <threadedComment ref="D22" dT="2022-10-10T15:46:48.86" personId="{488BA2F0-3063-4E72-A61A-FC0069824A60}" id="{901DCC11-5A76-441A-9B88-92C8F7802DC7}">
    <text>Se resta al total sólo los sólidos</text>
  </threadedComment>
  <threadedComment ref="R24" dT="2022-10-05T15:18:00.46" personId="{488BA2F0-3063-4E72-A61A-FC0069824A60}" id="{EB356E86-422F-4662-99CF-16B0450870F8}">
    <text>Del Excel de Rubén</text>
  </threadedComment>
  <threadedComment ref="Q26" dT="2022-10-05T15:11:06.40" personId="{488BA2F0-3063-4E72-A61A-FC0069824A60}" id="{3A1F1D02-B5B2-4DA1-AE24-DCBB143B67B4}">
    <text>Artículo Javiera</text>
  </threadedComment>
  <threadedComment ref="V27" dT="2022-10-10T16:00:43.93" personId="{488BA2F0-3063-4E72-A61A-FC0069824A60}" id="{58C7A82D-B248-453C-A286-80FD16A9270A}">
    <text>Area calculado según Excel Rubén</text>
  </threadedComment>
  <threadedComment ref="L28" dT="2022-10-10T16:32:32.28" personId="{488BA2F0-3063-4E72-A61A-FC0069824A60}" id="{6EA07C1F-6138-4F12-82F8-209DB7A874F0}">
    <text>Suma del TOC de la alga y lo que no se ha eliminado en el sistema.
Se hace igual para el TN y el TP</text>
  </threadedComment>
  <threadedComment ref="U30" dT="2022-10-05T15:11:06.40" personId="{488BA2F0-3063-4E72-A61A-FC0069824A60}" id="{49ACA8FB-1546-43A8-B39C-CC6D209FA027}">
    <text>Artículo Javiera</text>
  </threadedComment>
  <threadedComment ref="H32" dT="2022-10-10T16:04:14.64" personId="{488BA2F0-3063-4E72-A61A-FC0069824A60}" id="{BB8D22D9-D164-4742-81B9-C99CB595B5A8}">
    <text>Pérdidas del 10% (buscar referencia de reactor que mida eso)</text>
  </threadedComment>
  <threadedComment ref="J33" dT="2022-10-10T16:19:54.93" personId="{488BA2F0-3063-4E72-A61A-FC0069824A60}" id="{9BCB86B4-5F9A-4644-AB9B-EE747AD7C664}">
    <text>Valor obtenido del Ecxel de Ruben y confirmado por Silvia 10/10/22</text>
  </threadedComment>
  <threadedComment ref="N35" dT="2022-10-19T11:29:11.71" personId="{12E31005-B064-411B-B6C7-6142AA2348E0}" id="{77BB4EF8-F155-491C-8838-0E31842D083E}">
    <text>Añadir fosfato hasta concentración 20g/l</text>
  </threadedComment>
  <threadedComment ref="Q35" dT="2022-10-05T15:11:06.40" personId="{488BA2F0-3063-4E72-A61A-FC0069824A60}" id="{71A9E361-7868-426D-BEE7-E3E00F44FF94}">
    <text>Artículo Javiera</text>
  </threadedComment>
  <threadedComment ref="U35" dT="2022-10-05T15:11:06.40" personId="{488BA2F0-3063-4E72-A61A-FC0069824A60}" id="{3082D716-77C8-4D87-9F72-3ECF516AC3B2}">
    <text>Artículo Javiera</text>
  </threadedComment>
  <threadedComment ref="R39" dT="2022-10-06T11:57:55.03" personId="{12E31005-B064-411B-B6C7-6142AA2348E0}" id="{1C13121B-A7B7-4080-B146-34E5F287BF37}">
    <text>Excel Rubén</text>
  </threadedComment>
  <threadedComment ref="V56" dT="2023-01-16T16:06:41.13" personId="{12E31005-B064-411B-B6C7-6142AA2348E0}" id="{6541E201-288B-4758-A023-6FCB5D292A45}">
    <text>LPS a 5 bar y 150ºC</text>
  </threadedComment>
  <threadedComment ref="J68" dT="2022-10-10T17:19:28.28" personId="{488BA2F0-3063-4E72-A61A-FC0069824A60}" id="{3D6DA258-7234-470D-B07F-FEED9A2D4D92}">
    <text>Meter aquí las bombas</text>
  </threadedComment>
  <threadedComment ref="B74" dT="2022-11-17T16:10:27.96" personId="{488BA2F0-3063-4E72-A61A-FC0069824A60}" id="{04E3A98D-F5DC-4AFC-B826-B0C58EAC1196}">
    <text>Fasaie 2018</text>
  </threadedComment>
  <threadedComment ref="K88" dT="2022-10-10T18:35:47.69" personId="{488BA2F0-3063-4E72-A61A-FC0069824A60}" id="{DF3C7DD2-9294-42FC-9EFC-FF73AA3449FE}">
    <text>Valores medios</text>
  </threadedComment>
  <threadedComment ref="D91" dT="2022-10-06T09:57:43.22" personId="{12E31005-B064-411B-B6C7-6142AA2348E0}" id="{45670233-6845-48AF-AC37-68226C9825E9}">
    <text>Artículo Victor</text>
  </threadedComment>
  <threadedComment ref="D103" dT="2022-10-26T09:32:45.71" personId="{12E31005-B064-411B-B6C7-6142AA2348E0}" id="{B506E826-A6E2-43AE-A33F-265E07238844}">
    <text>Dato de Grabriel</text>
  </threadedComment>
  <threadedComment ref="D115" dT="2022-10-06T15:15:55.41" personId="{488BA2F0-3063-4E72-A61A-FC0069824A60}" id="{A7EEC86B-AEB4-432F-8551-1E0C982DB5FC}">
    <text>Mirar cuanto sube la temperatura</text>
  </threadedComment>
  <threadedComment ref="D116" dT="2022-10-06T15:04:31.26" personId="{488BA2F0-3063-4E72-A61A-FC0069824A60}" id="{ED142C05-731B-4BAF-A2ED-01D1AE3AE4F7}">
    <text>https://www.ingenierosindustriales.com/calculo-del-caudal-de-agua-en-instalaciones-de-calefaccion-o-climatizacion/</text>
    <extLst>
      <x:ext xmlns:xltc2="http://schemas.microsoft.com/office/spreadsheetml/2020/threadedcomments2" uri="{F7C98A9C-CBB3-438F-8F68-D28B6AF4A901}">
        <xltc2:checksum>3744560398</xltc2:checksum>
        <xltc2:hyperlink startIndex="0" length="114" url="https://www.ingenierosindustriales.com/calculo-del-caudal-de-agua-en-instalaciones-de-calefaccion-o-climatizacion/"/>
      </x:ext>
    </extLst>
  </threadedComment>
  <threadedComment ref="D117" dT="2022-10-26T09:32:45.71" personId="{12E31005-B064-411B-B6C7-6142AA2348E0}" id="{0D3DB22B-942C-4991-85A7-2909F92AAB55}">
    <text>Dato de Grabriel (memoria Greenfarm)</text>
  </threadedComment>
  <threadedComment ref="L119" dT="2022-10-11T08:41:13.64" personId="{12E31005-B064-411B-B6C7-6142AA2348E0}" id="{5C9488E0-30E5-4CFB-AC4F-03FA2C9E3FE2}">
    <text>https://www.kochseparation.com/technologies/membrane-filtration/puron-mbr-and-pulsion-mbr-modules/#datasheets</text>
    <extLst>
      <x:ext xmlns:xltc2="http://schemas.microsoft.com/office/spreadsheetml/2020/threadedcomments2" uri="{F7C98A9C-CBB3-438F-8F68-D28B6AF4A901}">
        <xltc2:checksum>2017703462</xltc2:checksum>
        <xltc2:hyperlink startIndex="0" length="109" url="https://www.kochseparation.com/technologies/membrane-filtration/puron-mbr-and-pulsion-mbr-modules/#datasheets"/>
      </x:ext>
    </extLst>
  </threadedComment>
  <threadedComment ref="B131" dT="2022-10-11T08:17:34.93" personId="{12E31005-B064-411B-B6C7-6142AA2348E0}" id="{10264D67-B118-49C4-9785-C7816BCDF0DA}">
    <text>Sacado de mi Excel del TFG</text>
  </threadedComment>
  <threadedComment ref="K153" dT="2022-11-08T15:51:29.30" personId="{488BA2F0-3063-4E72-A61A-FC0069824A60}" id="{5BA7BD29-7693-4C23-AEF3-CC197CFFEB1F}">
    <text>Fertiberia 
https://fercampo.com/catalogo-de-productos/nutricion-vegetal/fertilizantes-liquidos/</text>
    <extLst>
      <x:ext xmlns:xltc2="http://schemas.microsoft.com/office/spreadsheetml/2020/threadedcomments2" uri="{F7C98A9C-CBB3-438F-8F68-D28B6AF4A901}">
        <xltc2:checksum>3603582145</xltc2:checksum>
        <xltc2:hyperlink startIndex="13" length="84" url="https://fercampo.com/catalogo-de-productos/nutricion-vegetal/fertilizantes-liquidos/"/>
      </x:ext>
    </extLst>
  </threadedComment>
  <threadedComment ref="M155" dT="2022-11-08T15:36:42.97" personId="{488BA2F0-3063-4E72-A61A-FC0069824A60}" id="{760A2F6A-95FF-4D62-9AFC-7A9C646C4290}">
    <text>https://www.fertiberia.com/es/agricultura/productos/categorias/foliar/especiales/energrow-green-mo/</text>
    <extLst>
      <x:ext xmlns:xltc2="http://schemas.microsoft.com/office/spreadsheetml/2020/threadedcomments2" uri="{F7C98A9C-CBB3-438F-8F68-D28B6AF4A901}">
        <xltc2:checksum>988874796</xltc2:checksum>
        <xltc2:hyperlink startIndex="0" length="99" url="https://www.fertiberia.com/es/agricultura/productos/categorias/foliar/especiales/energrow-green-mo/"/>
      </x:ext>
    </extLst>
  </threadedComment>
  <threadedComment ref="O155" dT="2022-11-08T15:47:12.51" personId="{488BA2F0-3063-4E72-A61A-FC0069824A60}" id="{02001192-4BEF-467C-97FF-58FB9213BD2B}">
    <text>https://www.fertiberia.com/es/agricultura/productos/categorias/foliar/complejos/glugel-12-24-12/</text>
    <extLst>
      <x:ext xmlns:xltc2="http://schemas.microsoft.com/office/spreadsheetml/2020/threadedcomments2" uri="{F7C98A9C-CBB3-438F-8F68-D28B6AF4A901}">
        <xltc2:checksum>1718153243</xltc2:checksum>
        <xltc2:hyperlink startIndex="0" length="96" url="https://www.fertiberia.com/es/agricultura/productos/categorias/foliar/complejos/glugel-12-24-12/"/>
      </x:ext>
    </extLst>
  </threadedComment>
  <threadedComment ref="Q155" dT="2022-11-08T15:53:48.66" personId="{488BA2F0-3063-4E72-A61A-FC0069824A60}" id="{F67E01E1-46DE-4D6F-998D-257260FF533C}">
    <text>https://fercampo.com/catalogo-de-productos/nutricion-vegetal/fertilizantes-liquidos/</text>
    <extLst>
      <x:ext xmlns:xltc2="http://schemas.microsoft.com/office/spreadsheetml/2020/threadedcomments2" uri="{F7C98A9C-CBB3-438F-8F68-D28B6AF4A901}">
        <xltc2:checksum>1891551722</xltc2:checksum>
        <xltc2:hyperlink startIndex="0" length="84" url="https://fercampo.com/catalogo-de-productos/nutricion-vegetal/fertilizantes-liquidos/"/>
      </x:ext>
    </extLst>
  </threadedComment>
  <threadedComment ref="M159" dT="2022-11-08T15:37:40.34" personId="{488BA2F0-3063-4E72-A61A-FC0069824A60}" id="{B38E57C3-99F6-46A9-A54F-430328F380BF}">
    <text>Al año</text>
  </threadedComment>
  <threadedComment ref="O159" dT="2022-11-08T15:47:59.99" personId="{488BA2F0-3063-4E72-A61A-FC0069824A60}" id="{3E35DD65-E2E6-4F7C-AB33-1F0D69C34B8A}">
    <text>Al mes son 5L/ha</text>
  </threadedComment>
  <threadedComment ref="Q159" dT="2022-11-08T15:47:59.99" personId="{488BA2F0-3063-4E72-A61A-FC0069824A60}" id="{7A3A9239-8BF7-4F02-BFE6-B84D24FF4BAD}">
    <text>Al mes son 5L/ha</text>
  </threadedComment>
  <threadedComment ref="D194" dT="2022-12-05T18:29:29.25" personId="{488BA2F0-3063-4E72-A61A-FC0069824A60}" id="{6646E823-E49F-4817-9F95-523C2DA81955}">
    <text>Altura depósito purin = 3m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S4" dT="2023-03-20T11:32:08.41" personId="{488BA2F0-3063-4E72-A61A-FC0069824A60}" id="{00C71CFA-2F56-4AB9-BD4E-8B5E142A4A70}">
    <text>Flujo total de producto (no tiene en cuenta la ha)</text>
  </threadedComment>
  <threadedComment ref="B6" dT="2023-03-02T11:02:50.70" personId="{488BA2F0-3063-4E72-A61A-FC0069824A60}" id="{58682DE4-CE9B-42A7-AAA4-0D623053BCE4}">
    <text>GFRP (glass fiber reinforced polymer)
Abreviatura de https://www.sciencedirect.com/science/article/pii/S2092678222000280</text>
    <extLst>
      <x:ext xmlns:xltc2="http://schemas.microsoft.com/office/spreadsheetml/2020/threadedcomments2" uri="{F7C98A9C-CBB3-438F-8F68-D28B6AF4A901}">
        <xltc2:checksum>589456417</xltc2:checksum>
        <xltc2:hyperlink startIndex="54" length="67" url="https://www.sciencedirect.com/science/article/pii/S2092678222000280"/>
      </x:ext>
    </extLst>
  </threadedComment>
  <threadedComment ref="M11" dT="2023-03-17T11:00:15.49" personId="{488BA2F0-3063-4E72-A61A-FC0069824A60}" id="{790FC3F1-5C1A-47DE-8911-98F5D1897593}">
    <text>https://www.sciencedirect.com/science/article/pii/S0360544222006788</text>
    <extLst>
      <x:ext xmlns:xltc2="http://schemas.microsoft.com/office/spreadsheetml/2020/threadedcomments2" uri="{F7C98A9C-CBB3-438F-8F68-D28B6AF4A901}">
        <xltc2:checksum>406464414</xltc2:checksum>
        <xltc2:hyperlink startIndex="0" length="67" url="https://www.sciencedirect.com/science/article/pii/S0360544222006788"/>
      </x:ext>
    </extLst>
  </threadedComment>
  <threadedComment ref="C40" dT="2023-03-31T09:06:06.70" personId="{488BA2F0-3063-4E72-A61A-FC0069824A60}" id="{053CE122-DEE9-417A-AD64-BD45EEBD9290}">
    <text>Media entre escenario 1 y 2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G22" dT="2023-02-23T12:49:49.29" personId="{488BA2F0-3063-4E72-A61A-FC0069824A60}" id="{3E1E4BE4-61AD-4D6B-8518-2951FE7A1C8B}">
    <text>Cuadra con lo de Tua 2021</text>
  </threadedComment>
  <threadedComment ref="B28" dT="2023-03-14T11:33:28.00" personId="{488BA2F0-3063-4E72-A61A-FC0069824A60}" id="{C7DB8B24-27D2-4E5D-8918-99A839FDB533}">
    <text>Bloque nombrado en SimaPro "Microalgae cultivation Q6"</text>
  </threadedComment>
  <threadedComment ref="C39" dT="2023-03-14T11:28:52.95" personId="{488BA2F0-3063-4E72-A61A-FC0069824A60}" id="{90468D3F-6BD2-498E-BDFF-F002CC15A6A5}">
    <text>No hace falta meterlo, está incluido dentro del flujo Q6</text>
  </threadedComment>
  <threadedComment ref="B40" dT="2023-03-07T13:55:02.26" personId="{488BA2F0-3063-4E72-A61A-FC0069824A60}" id="{CCED1CD6-299A-46B7-AFF7-486E3F50B224}">
    <text xml:space="preserve">https://www.mdpi.com/2304-8158/11/19/3053
Hernández 2022
</text>
    <extLst>
      <x:ext xmlns:xltc2="http://schemas.microsoft.com/office/spreadsheetml/2020/threadedcomments2" uri="{F7C98A9C-CBB3-438F-8F68-D28B6AF4A901}">
        <xltc2:checksum>2827194766</xltc2:checksum>
        <xltc2:hyperlink startIndex="0" length="41" url="https://www.mdpi.com/2304-8158/11/19/3053"/>
      </x:ext>
    </extLst>
  </threadedComment>
  <threadedComment ref="C42" dT="2023-03-31T10:24:37.05" personId="{488BA2F0-3063-4E72-A61A-FC0069824A60}" id="{5FD98F95-A0A3-4D62-815A-F97D98882D10}">
    <text>Venancio 2020, eficacia de fijación de CO2 = 62%</text>
  </threadedComment>
  <threadedComment ref="B44" dT="2023-03-03T13:50:41.77" personId="{488BA2F0-3063-4E72-A61A-FC0069824A60}" id="{264CF089-5BFE-442F-B531-65A1CC3404F3}">
    <text>https://www.sciencedirect.com/science/article/pii/S0921344922004116#sec0002
Silva 2022 "In the cultivation stage, total N, total P, and water avoided due to the use of effluent as a cultivation medium were considered".
Nutrientes no emitidos al medioambiente (tabla 3)</text>
    <extLst>
      <x:ext xmlns:xltc2="http://schemas.microsoft.com/office/spreadsheetml/2020/threadedcomments2" uri="{F7C98A9C-CBB3-438F-8F68-D28B6AF4A901}">
        <xltc2:checksum>2036139950</xltc2:checksum>
        <xltc2:hyperlink startIndex="0" length="75" url="https://www.sciencedirect.com/science/article/pii/S0921344922004116#sec0002"/>
      </x:ext>
    </extLst>
  </threadedComment>
  <threadedComment ref="B56" dT="2023-03-14T11:33:50.26" personId="{488BA2F0-3063-4E72-A61A-FC0069824A60}" id="{9B14A3B4-121C-4B06-B6F2-CDDFD3C6F98B}">
    <text>Bloque nombrado en SimaPro "Biomass Harvesting Q9"</text>
  </threadedComment>
  <threadedComment ref="B63" dT="2023-03-14T11:35:47.35" personId="{488BA2F0-3063-4E72-A61A-FC0069824A60}" id="{062C44F4-C37E-4051-978E-037DE591D5CE}">
    <text>Emisión evitada</text>
  </threadedComment>
  <threadedComment ref="B66" dT="2023-03-14T12:09:38.56" personId="{488BA2F0-3063-4E72-A61A-FC0069824A60}" id="{F62DBFAD-7514-4289-9785-CBDEB8BCFC0C}">
    <text>Bloque nombrado en SimaPro "US pretreatment (Q10)"</text>
  </threadedComment>
  <threadedComment ref="B75" dT="2023-03-14T12:10:00.79" personId="{488BA2F0-3063-4E72-A61A-FC0069824A60}" id="{16FF893D-9320-4CCC-9B03-591122AC4217}">
    <text>Bloque nombrado en SimaPro "Biostimulant production (Q11)"</text>
  </threadedComment>
  <threadedComment ref="B82" dT="2023-03-15T09:06:51.40" personId="{488BA2F0-3063-4E72-A61A-FC0069824A60}" id="{7496416B-4706-4AB4-A437-8EE9C5A722A8}">
    <text>Basado en Pechrisi 2023, coger de la base de datos de EcoInvent la alpha-amilasa</text>
  </threadedComment>
  <threadedComment ref="B83" dT="2023-03-15T09:28:34.24" personId="{488BA2F0-3063-4E72-A61A-FC0069824A60}" id="{A944B521-4BB8-4092-821F-D77440659D42}">
    <text>Basado en Pechrisi 2023</text>
  </threadedComment>
  <threadedComment ref="B87" dT="2023-03-03T13:50:41.77" personId="{488BA2F0-3063-4E72-A61A-FC0069824A60}" id="{E1EE7D55-E4E7-4D7D-9880-3BCBAFEB530A}">
    <text xml:space="preserve">https://www.sciencedirect.com/science/article/pii/S0921344922004116#sec0002
Silva 2022
https://www.sciencedirect.com/science/article/pii/S2211926422000960#s0010
Nilsson 2022
</text>
    <extLst>
      <x:ext xmlns:xltc2="http://schemas.microsoft.com/office/spreadsheetml/2020/threadedcomments2" uri="{F7C98A9C-CBB3-438F-8F68-D28B6AF4A901}">
        <xltc2:checksum>2811206208</xltc2:checksum>
        <xltc2:hyperlink startIndex="0" length="75" url="https://www.sciencedirect.com/science/article/pii/S0921344922004116#sec0002"/>
        <xltc2:hyperlink startIndex="89" length="73" url="https://www.sciencedirect.com/science/article/pii/S2211926422000960#s0010"/>
      </x:ext>
    </extLs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AM4" dT="2023-03-29T08:35:34.30" personId="{488BA2F0-3063-4E72-A61A-FC0069824A60}" id="{EAE8B714-86FA-4650-8604-E570AC9F463D}">
    <text xml:space="preserve"> Integrated microalgal biorefinery for the production and application of biostimulants in circular bioeconomy 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AM4" dT="2023-03-29T08:35:34.30" personId="{488BA2F0-3063-4E72-A61A-FC0069824A60}" id="{29A081AA-ECB4-424C-AA43-A331A03E166E}">
    <text xml:space="preserve"> Integrated microalgal biorefinery for the production and application of biostimulants in circular bioeconomy </text>
  </threadedComment>
  <threadedComment ref="E93" dT="2023-03-31T10:16:22.25" personId="{488BA2F0-3063-4E72-A61A-FC0069824A60}" id="{54A9FE70-3FC1-49BF-8FC2-82EC62F5310D}">
    <text xml:space="preserve">No tenido en cuenta como tampoco en el flue gas, 53,1
</text>
  </threadedComment>
  <threadedComment ref="E137" dT="2023-03-31T10:16:22.25" personId="{488BA2F0-3063-4E72-A61A-FC0069824A60}" id="{1DE8C8C5-E5A9-4448-9471-D03DC9B0399F}">
    <text xml:space="preserve">No tenido en cuenta como tampoco en el flue gas, 53,1
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AM4" dT="2023-03-29T08:35:34.30" personId="{488BA2F0-3063-4E72-A61A-FC0069824A60}" id="{1F1DF051-4624-440F-BD56-0A5B7D73A69A}">
    <text xml:space="preserve"> Integrated microalgal biorefinery for the production and application of biostimulants in circular bioeconomy </text>
  </threadedComment>
  <threadedComment ref="E93" dT="2023-03-31T10:16:22.25" personId="{488BA2F0-3063-4E72-A61A-FC0069824A60}" id="{D1227524-F7A8-4024-9C52-682F6BD48445}">
    <text xml:space="preserve">No tenido en cuenta como tampoco en el flue gas, 53,1
</text>
  </threadedComment>
  <threadedComment ref="E137" dT="2023-03-31T10:16:22.25" personId="{488BA2F0-3063-4E72-A61A-FC0069824A60}" id="{FA27C05C-1395-4B0A-9FBA-D614550C03CA}">
    <text xml:space="preserve">No tenido en cuenta como tampoco en el flue gas, 53,1
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AM4" dT="2023-03-29T08:35:34.30" personId="{488BA2F0-3063-4E72-A61A-FC0069824A60}" id="{B5196E0E-A255-4A2C-9D15-845AFB53BFC2}">
    <text xml:space="preserve"> Integrated microalgal biorefinery for the production and application of biostimulants in circular bioeconomy </text>
  </threadedComment>
  <threadedComment ref="E93" dT="2023-03-31T10:16:22.25" personId="{488BA2F0-3063-4E72-A61A-FC0069824A60}" id="{7E62EAF2-D5B5-4737-9BA4-5FF72BD50263}">
    <text xml:space="preserve">No tenido en cuenta como tampoco en el flue gas, 53,1
</text>
  </threadedComment>
  <threadedComment ref="E137" dT="2023-03-31T10:16:22.25" personId="{488BA2F0-3063-4E72-A61A-FC0069824A60}" id="{09DC9183-4012-4ADD-ADEC-28C484B17AD9}">
    <text xml:space="preserve">No tenido en cuenta como tampoco en el flue gas, 53,1
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AM4" dT="2023-03-29T08:35:34.30" personId="{488BA2F0-3063-4E72-A61A-FC0069824A60}" id="{5DBC5073-BE03-4DB8-82A2-06961B1F9E38}">
    <text xml:space="preserve"> Integrated microalgal biorefinery for the production and application of biostimulants in circular bioeconomy </text>
  </threadedComment>
  <threadedComment ref="E93" dT="2023-03-31T10:16:22.25" personId="{488BA2F0-3063-4E72-A61A-FC0069824A60}" id="{27380E0A-919E-494C-9D46-0E197426011C}">
    <text xml:space="preserve">No tenido en cuenta como tampoco en el flue gas, 53,1
</text>
  </threadedComment>
  <threadedComment ref="E137" dT="2023-03-31T10:16:22.25" personId="{488BA2F0-3063-4E72-A61A-FC0069824A60}" id="{DA5E95D3-0762-4E51-9F9E-DBB097E523F0}">
    <text xml:space="preserve">No tenido en cuenta como tampoco en el flue gas, 53,1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logs.worldbank.org/opendata/fertilizer-prices-expected-remain-higher-longer" TargetMode="External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dpi.com/2079-7737/11/8/1176" TargetMode="External"/><Relationship Id="rId13" Type="http://schemas.openxmlformats.org/officeDocument/2006/relationships/hyperlink" Target="https://link.springer.com/article/10.1065/lca2004.10.181.10" TargetMode="External"/><Relationship Id="rId3" Type="http://schemas.openxmlformats.org/officeDocument/2006/relationships/hyperlink" Target="https://www.mdpi.com/2304-8158/11/19/3053" TargetMode="External"/><Relationship Id="rId7" Type="http://schemas.openxmlformats.org/officeDocument/2006/relationships/hyperlink" Target="https://www.mdpi.com/2079-7737/11/8/1176" TargetMode="External"/><Relationship Id="rId12" Type="http://schemas.openxmlformats.org/officeDocument/2006/relationships/hyperlink" Target="https://www.sciencedirect.com/science/article/pii/S2352186422000748" TargetMode="External"/><Relationship Id="rId2" Type="http://schemas.openxmlformats.org/officeDocument/2006/relationships/hyperlink" Target="https://www.sciencedirect.com/science/article/pii/B9780081022283000074" TargetMode="External"/><Relationship Id="rId16" Type="http://schemas.microsoft.com/office/2017/10/relationships/threadedComment" Target="../threadedComments/threadedComment2.xml"/><Relationship Id="rId1" Type="http://schemas.openxmlformats.org/officeDocument/2006/relationships/hyperlink" Target="https://www.mdpi.com/2076-3417/10/15/5130" TargetMode="External"/><Relationship Id="rId6" Type="http://schemas.openxmlformats.org/officeDocument/2006/relationships/hyperlink" Target="https://www.mdpi.com/2079-7737/11/8/1176" TargetMode="External"/><Relationship Id="rId11" Type="http://schemas.openxmlformats.org/officeDocument/2006/relationships/hyperlink" Target="https://www.sciencedirect.com/science/article/pii/S2211926415300898" TargetMode="External"/><Relationship Id="rId5" Type="http://schemas.openxmlformats.org/officeDocument/2006/relationships/hyperlink" Target="https://www.mdpi.com/2079-7737/11/8/1176" TargetMode="External"/><Relationship Id="rId15" Type="http://schemas.openxmlformats.org/officeDocument/2006/relationships/comments" Target="../comments2.xml"/><Relationship Id="rId10" Type="http://schemas.openxmlformats.org/officeDocument/2006/relationships/hyperlink" Target="https://www.mdpi.com/2079-7737/11/8/1176" TargetMode="External"/><Relationship Id="rId4" Type="http://schemas.openxmlformats.org/officeDocument/2006/relationships/hyperlink" Target="https://www.mdpi.com/2304-8158/11/19/3053" TargetMode="External"/><Relationship Id="rId9" Type="http://schemas.openxmlformats.org/officeDocument/2006/relationships/hyperlink" Target="https://www.mdpi.com/2079-7737/11/8/1176" TargetMode="External"/><Relationship Id="rId1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.xml"/><Relationship Id="rId4" Type="http://schemas.microsoft.com/office/2017/10/relationships/threadedComment" Target="../threadedComments/threadedComment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4.xml"/><Relationship Id="rId4" Type="http://schemas.microsoft.com/office/2017/10/relationships/threadedComment" Target="../threadedComments/threadedComment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5.xml"/><Relationship Id="rId4" Type="http://schemas.microsoft.com/office/2017/10/relationships/threadedComment" Target="../threadedComments/threadedComment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6.xml"/><Relationship Id="rId4" Type="http://schemas.microsoft.com/office/2017/10/relationships/threadedComment" Target="../threadedComments/threadedComment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7.xml"/><Relationship Id="rId4" Type="http://schemas.microsoft.com/office/2017/10/relationships/threadedComment" Target="../threadedComments/threadedComment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E212"/>
  <sheetViews>
    <sheetView topLeftCell="A4" zoomScale="70" zoomScaleNormal="70" workbookViewId="0">
      <selection activeCell="I49" sqref="I49"/>
    </sheetView>
  </sheetViews>
  <sheetFormatPr defaultColWidth="11.42578125" defaultRowHeight="15" x14ac:dyDescent="0.25"/>
  <cols>
    <col min="2" max="2" width="19.85546875" bestFit="1" customWidth="1"/>
    <col min="3" max="6" width="14.5703125" bestFit="1" customWidth="1"/>
    <col min="7" max="7" width="14.42578125" bestFit="1" customWidth="1"/>
    <col min="8" max="8" width="22.85546875" bestFit="1" customWidth="1"/>
    <col min="9" max="9" width="14.5703125" bestFit="1" customWidth="1"/>
    <col min="10" max="10" width="50.85546875" customWidth="1"/>
    <col min="11" max="11" width="20.85546875" bestFit="1" customWidth="1"/>
    <col min="12" max="14" width="14.5703125" bestFit="1" customWidth="1"/>
    <col min="15" max="15" width="13.85546875" bestFit="1" customWidth="1"/>
    <col min="16" max="16" width="14.5703125" bestFit="1" customWidth="1"/>
    <col min="17" max="17" width="15" bestFit="1" customWidth="1"/>
    <col min="18" max="18" width="16" bestFit="1" customWidth="1"/>
    <col min="22" max="22" width="13" bestFit="1" customWidth="1"/>
    <col min="30" max="30" width="22" bestFit="1" customWidth="1"/>
  </cols>
  <sheetData>
    <row r="3" spans="1:19" x14ac:dyDescent="0.25">
      <c r="A3" t="s">
        <v>9</v>
      </c>
      <c r="B3" s="150">
        <f>I20*365</f>
        <v>86161.249999999884</v>
      </c>
      <c r="C3" t="s">
        <v>598</v>
      </c>
    </row>
    <row r="4" spans="1:19" x14ac:dyDescent="0.25">
      <c r="A4" t="s">
        <v>14</v>
      </c>
      <c r="B4">
        <f>N20*365</f>
        <v>1849.0051445119771</v>
      </c>
      <c r="C4" t="s">
        <v>598</v>
      </c>
      <c r="R4" s="212" t="s">
        <v>0</v>
      </c>
      <c r="S4" s="212"/>
    </row>
    <row r="5" spans="1:19" x14ac:dyDescent="0.25">
      <c r="R5" s="2" t="s">
        <v>1</v>
      </c>
      <c r="S5" s="3">
        <v>71.7</v>
      </c>
    </row>
    <row r="6" spans="1:19" x14ac:dyDescent="0.25">
      <c r="R6" s="2" t="s">
        <v>2</v>
      </c>
      <c r="S6" s="3">
        <v>42.3</v>
      </c>
    </row>
    <row r="7" spans="1:19" x14ac:dyDescent="0.25">
      <c r="R7" s="2" t="s">
        <v>3</v>
      </c>
      <c r="S7" s="3">
        <v>33.4</v>
      </c>
    </row>
    <row r="15" spans="1:19" x14ac:dyDescent="0.25">
      <c r="B15" s="4"/>
      <c r="L15" s="5"/>
    </row>
    <row r="16" spans="1:19" x14ac:dyDescent="0.25">
      <c r="B16" s="5"/>
      <c r="J16" s="5"/>
      <c r="L16" s="5"/>
    </row>
    <row r="18" spans="2:23" x14ac:dyDescent="0.25">
      <c r="D18" s="7" t="s">
        <v>4</v>
      </c>
      <c r="E18" s="7" t="s">
        <v>5</v>
      </c>
      <c r="F18" s="7" t="s">
        <v>6</v>
      </c>
      <c r="G18" s="7" t="s">
        <v>7</v>
      </c>
      <c r="H18" s="7" t="s">
        <v>8</v>
      </c>
      <c r="I18" s="7" t="s">
        <v>9</v>
      </c>
      <c r="J18" s="7" t="s">
        <v>10</v>
      </c>
      <c r="K18" s="7" t="s">
        <v>11</v>
      </c>
      <c r="L18" s="7" t="s">
        <v>12</v>
      </c>
      <c r="M18" s="7" t="s">
        <v>13</v>
      </c>
      <c r="N18" s="7" t="s">
        <v>14</v>
      </c>
      <c r="Q18" s="231" t="s">
        <v>15</v>
      </c>
      <c r="R18" s="231"/>
      <c r="S18" s="231"/>
      <c r="U18" s="231" t="s">
        <v>16</v>
      </c>
      <c r="V18" s="231"/>
      <c r="W18" s="231"/>
    </row>
    <row r="19" spans="2:23" x14ac:dyDescent="0.25">
      <c r="D19" s="8" t="s">
        <v>17</v>
      </c>
      <c r="E19" s="8" t="s">
        <v>18</v>
      </c>
      <c r="F19" s="8" t="s">
        <v>19</v>
      </c>
      <c r="G19" s="8" t="s">
        <v>20</v>
      </c>
      <c r="H19" s="8" t="s">
        <v>21</v>
      </c>
      <c r="I19" s="8" t="s">
        <v>22</v>
      </c>
      <c r="J19" s="9" t="s">
        <v>516</v>
      </c>
      <c r="K19" s="8" t="s">
        <v>23</v>
      </c>
      <c r="L19" s="8" t="s">
        <v>517</v>
      </c>
      <c r="M19" s="8" t="s">
        <v>24</v>
      </c>
      <c r="N19" s="8" t="s">
        <v>25</v>
      </c>
      <c r="Q19" s="10" t="s">
        <v>26</v>
      </c>
      <c r="R19" s="11">
        <v>8400</v>
      </c>
      <c r="S19" s="11" t="s">
        <v>27</v>
      </c>
      <c r="U19" s="10" t="s">
        <v>28</v>
      </c>
      <c r="V19" s="11">
        <v>37.86</v>
      </c>
      <c r="W19" s="11" t="s">
        <v>29</v>
      </c>
    </row>
    <row r="20" spans="2:23" ht="17.25" x14ac:dyDescent="0.25">
      <c r="B20" s="228" t="s">
        <v>30</v>
      </c>
      <c r="C20" s="12" t="s">
        <v>31</v>
      </c>
      <c r="D20" s="14">
        <f>R24</f>
        <v>37.7693150684931</v>
      </c>
      <c r="E20" s="14">
        <f>G20-(F20+D20)</f>
        <v>221.89472602739693</v>
      </c>
      <c r="F20" s="14">
        <f>I20*(R28/100)</f>
        <v>118.02910958904093</v>
      </c>
      <c r="G20" s="14">
        <f>D20*R27</f>
        <v>377.69315068493097</v>
      </c>
      <c r="H20" s="14">
        <f>(V27*R31)/1000</f>
        <v>141.63493150684911</v>
      </c>
      <c r="I20" s="14">
        <f>G20-H20</f>
        <v>236.05821917808186</v>
      </c>
      <c r="J20" s="14">
        <f>I20-L20</f>
        <v>231.07476788432234</v>
      </c>
      <c r="K20" s="14">
        <f>J20-F20</f>
        <v>113.04565829528141</v>
      </c>
      <c r="L20" s="14">
        <f>(I20*I25*((V23-V24)/100))/(V37*1000)</f>
        <v>4.9834512937595061</v>
      </c>
      <c r="M20" s="14">
        <f>L20</f>
        <v>4.9834512937595061</v>
      </c>
      <c r="N20" s="14">
        <f>N21/1000</f>
        <v>5.0657675192108957</v>
      </c>
      <c r="Q20" s="10" t="s">
        <v>32</v>
      </c>
      <c r="R20" s="11">
        <v>14260</v>
      </c>
      <c r="S20" s="11" t="s">
        <v>27</v>
      </c>
      <c r="U20" s="10" t="s">
        <v>33</v>
      </c>
      <c r="V20" s="11">
        <v>4.99</v>
      </c>
      <c r="W20" s="11" t="s">
        <v>29</v>
      </c>
    </row>
    <row r="21" spans="2:23" x14ac:dyDescent="0.25">
      <c r="B21" s="228"/>
      <c r="C21" s="11" t="s">
        <v>34</v>
      </c>
      <c r="D21" s="15">
        <f t="shared" ref="D21:M21" si="0">D20*1000</f>
        <v>37769.315068493102</v>
      </c>
      <c r="E21" s="15">
        <f t="shared" si="0"/>
        <v>221894.72602739692</v>
      </c>
      <c r="F21" s="15">
        <f t="shared" si="0"/>
        <v>118029.10958904093</v>
      </c>
      <c r="G21" s="15">
        <f t="shared" si="0"/>
        <v>377693.15068493097</v>
      </c>
      <c r="H21" s="15">
        <f t="shared" si="0"/>
        <v>141634.93150684913</v>
      </c>
      <c r="I21" s="15">
        <f>I20*1000</f>
        <v>236058.21917808187</v>
      </c>
      <c r="J21" s="15">
        <f t="shared" si="0"/>
        <v>231074.76788432235</v>
      </c>
      <c r="K21" s="15">
        <f>K20*1000</f>
        <v>113045.65829528141</v>
      </c>
      <c r="L21" s="15">
        <f t="shared" si="0"/>
        <v>4983.4512937595064</v>
      </c>
      <c r="M21" s="15">
        <f t="shared" si="0"/>
        <v>4983.4512937595064</v>
      </c>
      <c r="N21" s="15">
        <f>M21+O63</f>
        <v>5065.7675192108954</v>
      </c>
      <c r="Q21" s="10" t="s">
        <v>35</v>
      </c>
      <c r="R21" s="11">
        <v>5120</v>
      </c>
      <c r="S21" s="11" t="s">
        <v>27</v>
      </c>
      <c r="U21" s="10" t="s">
        <v>36</v>
      </c>
      <c r="V21" s="11">
        <v>1.03</v>
      </c>
      <c r="W21" s="11" t="s">
        <v>29</v>
      </c>
    </row>
    <row r="22" spans="2:23" x14ac:dyDescent="0.25">
      <c r="B22" s="228" t="s">
        <v>37</v>
      </c>
      <c r="C22" s="16" t="s">
        <v>34</v>
      </c>
      <c r="D22" s="14">
        <f>D21-D26</f>
        <v>37452.052821917758</v>
      </c>
      <c r="E22" s="14">
        <f>E21</f>
        <v>221894.72602739692</v>
      </c>
      <c r="F22" s="14">
        <f>F21-F24</f>
        <v>118017.05213176169</v>
      </c>
      <c r="G22" s="17">
        <f>D22+E22+F22</f>
        <v>377363.83098107635</v>
      </c>
      <c r="H22" s="14">
        <f>H21</f>
        <v>141634.93150684913</v>
      </c>
      <c r="I22" s="14">
        <f>I21-I24</f>
        <v>235586.1027397257</v>
      </c>
      <c r="J22" s="14">
        <f t="shared" ref="J22:M22" si="1">J21-J24</f>
        <v>231051.16206240456</v>
      </c>
      <c r="K22" s="14">
        <f t="shared" si="1"/>
        <v>113034.10993064284</v>
      </c>
      <c r="L22" s="14">
        <f>L21-L24</f>
        <v>4534.9406773211504</v>
      </c>
      <c r="M22" s="14">
        <f t="shared" si="1"/>
        <v>4534.9406773211504</v>
      </c>
      <c r="N22" s="14">
        <f>M22</f>
        <v>4534.9406773211504</v>
      </c>
      <c r="Q22" s="10" t="s">
        <v>38</v>
      </c>
      <c r="R22" s="11">
        <v>3328</v>
      </c>
      <c r="S22" s="11" t="s">
        <v>27</v>
      </c>
    </row>
    <row r="23" spans="2:23" x14ac:dyDescent="0.25">
      <c r="B23" s="228"/>
      <c r="C23" s="11" t="s">
        <v>27</v>
      </c>
      <c r="D23" s="15" t="s">
        <v>39</v>
      </c>
      <c r="E23" s="15" t="s">
        <v>39</v>
      </c>
      <c r="F23" s="15" t="s">
        <v>39</v>
      </c>
      <c r="G23" s="15" t="s">
        <v>39</v>
      </c>
      <c r="H23" s="15" t="s">
        <v>39</v>
      </c>
      <c r="I23" s="15" t="s">
        <v>39</v>
      </c>
      <c r="J23" s="15" t="s">
        <v>39</v>
      </c>
      <c r="K23" s="15" t="s">
        <v>39</v>
      </c>
      <c r="L23" s="15" t="s">
        <v>39</v>
      </c>
      <c r="M23" s="15" t="s">
        <v>39</v>
      </c>
      <c r="N23" s="15" t="s">
        <v>39</v>
      </c>
      <c r="Q23" s="10" t="s">
        <v>40</v>
      </c>
      <c r="R23" s="11">
        <v>76</v>
      </c>
      <c r="S23" s="11" t="s">
        <v>27</v>
      </c>
      <c r="U23" s="23" t="s">
        <v>518</v>
      </c>
      <c r="V23" s="11">
        <v>95</v>
      </c>
      <c r="W23" s="11" t="s">
        <v>29</v>
      </c>
    </row>
    <row r="24" spans="2:23" ht="17.25" x14ac:dyDescent="0.25">
      <c r="B24" s="228" t="s">
        <v>42</v>
      </c>
      <c r="C24" s="16" t="s">
        <v>34</v>
      </c>
      <c r="D24" s="14">
        <v>0</v>
      </c>
      <c r="E24" s="14">
        <v>0</v>
      </c>
      <c r="F24" s="14">
        <f>(F20*F25)/1000</f>
        <v>12.057457279243694</v>
      </c>
      <c r="G24" s="14">
        <f>D24+F24+E24</f>
        <v>12.057457279243694</v>
      </c>
      <c r="H24" s="14">
        <v>0</v>
      </c>
      <c r="I24" s="14">
        <f>(I20*I25)/1000</f>
        <v>472.11643835616371</v>
      </c>
      <c r="J24" s="14">
        <f>(R33*V27*(1-(V23/100)))/1000</f>
        <v>23.605821917808207</v>
      </c>
      <c r="K24" s="14">
        <f>(K25*K20)/1000</f>
        <v>11.548364638564514</v>
      </c>
      <c r="L24" s="14">
        <f>(R33*V27*((V23-V24)/100))/1000</f>
        <v>448.51061643835556</v>
      </c>
      <c r="M24" s="14">
        <f>L24</f>
        <v>448.51061643835556</v>
      </c>
      <c r="N24" s="14">
        <f>M24</f>
        <v>448.51061643835556</v>
      </c>
      <c r="Q24" s="10" t="s">
        <v>30</v>
      </c>
      <c r="R24" s="18">
        <f>37.7693150684931</f>
        <v>37.7693150684931</v>
      </c>
      <c r="S24" s="11" t="s">
        <v>31</v>
      </c>
      <c r="U24" s="10" t="s">
        <v>43</v>
      </c>
      <c r="V24" s="11">
        <v>0</v>
      </c>
      <c r="W24" s="11" t="s">
        <v>29</v>
      </c>
    </row>
    <row r="25" spans="2:23" x14ac:dyDescent="0.25">
      <c r="B25" s="228"/>
      <c r="C25" s="11" t="s">
        <v>27</v>
      </c>
      <c r="D25" s="15">
        <v>0</v>
      </c>
      <c r="E25" s="15">
        <v>0</v>
      </c>
      <c r="F25" s="15">
        <f>J25</f>
        <v>102.15664018161191</v>
      </c>
      <c r="G25" s="15">
        <f>(G24/G20)*1000</f>
        <v>31.923950056753718</v>
      </c>
      <c r="H25" s="15">
        <v>0</v>
      </c>
      <c r="I25" s="15">
        <f>R32*1000</f>
        <v>2000</v>
      </c>
      <c r="J25" s="15">
        <f>(J24/J20)*1000</f>
        <v>102.15664018161191</v>
      </c>
      <c r="K25" s="15">
        <f>J25</f>
        <v>102.15664018161191</v>
      </c>
      <c r="L25" s="15">
        <f>(L24/L20)*1000</f>
        <v>90000</v>
      </c>
      <c r="M25" s="15">
        <f>(M24/M20)*1000</f>
        <v>90000</v>
      </c>
      <c r="N25" s="15">
        <f>(N24/N20)*1000</f>
        <v>88537.544357783903</v>
      </c>
    </row>
    <row r="26" spans="2:23" x14ac:dyDescent="0.25">
      <c r="B26" s="228" t="s">
        <v>26</v>
      </c>
      <c r="C26" s="16" t="s">
        <v>34</v>
      </c>
      <c r="D26" s="14">
        <f>(D20*D27)/1000</f>
        <v>317.26224657534203</v>
      </c>
      <c r="E26" s="14">
        <v>0</v>
      </c>
      <c r="F26" s="14">
        <f>F24</f>
        <v>12.057457279243694</v>
      </c>
      <c r="G26" s="14">
        <f>D26+E26+F26</f>
        <v>329.31970385458573</v>
      </c>
      <c r="H26" s="14">
        <v>0</v>
      </c>
      <c r="I26" s="14">
        <f t="shared" ref="I26:N26" si="2">I24</f>
        <v>472.11643835616371</v>
      </c>
      <c r="J26" s="14">
        <f t="shared" si="2"/>
        <v>23.605821917808207</v>
      </c>
      <c r="K26" s="14">
        <f t="shared" si="2"/>
        <v>11.548364638564514</v>
      </c>
      <c r="L26" s="14">
        <f t="shared" si="2"/>
        <v>448.51061643835556</v>
      </c>
      <c r="M26" s="14">
        <f t="shared" si="2"/>
        <v>448.51061643835556</v>
      </c>
      <c r="N26" s="14">
        <f t="shared" si="2"/>
        <v>448.51061643835556</v>
      </c>
      <c r="Q26" s="231" t="s">
        <v>44</v>
      </c>
      <c r="R26" s="231"/>
      <c r="S26" s="231"/>
      <c r="U26" s="231" t="s">
        <v>45</v>
      </c>
      <c r="V26" s="231"/>
      <c r="W26" s="231"/>
    </row>
    <row r="27" spans="2:23" ht="17.25" x14ac:dyDescent="0.25">
      <c r="B27" s="228"/>
      <c r="C27" s="11" t="s">
        <v>27</v>
      </c>
      <c r="D27" s="15">
        <f>R19</f>
        <v>8400</v>
      </c>
      <c r="E27" s="15">
        <v>0</v>
      </c>
      <c r="F27" s="15">
        <f>F25</f>
        <v>102.15664018161191</v>
      </c>
      <c r="G27" s="15">
        <f>(G26/G20)*1000</f>
        <v>871.92395005675371</v>
      </c>
      <c r="H27" s="15">
        <v>0</v>
      </c>
      <c r="I27" s="15">
        <f>(I26/I20)*1000</f>
        <v>2000</v>
      </c>
      <c r="J27" s="15">
        <f>(J26/J20)*1000</f>
        <v>102.15664018161191</v>
      </c>
      <c r="K27" s="15">
        <f>K25</f>
        <v>102.15664018161191</v>
      </c>
      <c r="L27" s="15">
        <f>(L26/L20)*1000</f>
        <v>90000</v>
      </c>
      <c r="M27" s="15">
        <f>(M26/M20)*1000</f>
        <v>90000</v>
      </c>
      <c r="N27" s="15">
        <f>(N26/N20)*1000</f>
        <v>88537.544357783903</v>
      </c>
      <c r="Q27" s="10" t="s">
        <v>46</v>
      </c>
      <c r="R27" s="11">
        <v>10</v>
      </c>
      <c r="S27" s="11" t="s">
        <v>29</v>
      </c>
      <c r="U27" s="10" t="s">
        <v>47</v>
      </c>
      <c r="V27" s="19">
        <f>V28/(R30/100)</f>
        <v>28326.986301369823</v>
      </c>
      <c r="W27" s="3" t="s">
        <v>48</v>
      </c>
    </row>
    <row r="28" spans="2:23" ht="17.25" x14ac:dyDescent="0.25">
      <c r="B28" s="228" t="s">
        <v>32</v>
      </c>
      <c r="C28" s="16" t="s">
        <v>34</v>
      </c>
      <c r="D28" s="14">
        <f>(D20*D29)/1000</f>
        <v>538.59043287671159</v>
      </c>
      <c r="E28" s="14">
        <v>0</v>
      </c>
      <c r="F28" s="14">
        <f>(F29*F20)/1000</f>
        <v>60.255779618159153</v>
      </c>
      <c r="G28" s="14">
        <f>D28+E28+F28</f>
        <v>598.84621249487077</v>
      </c>
      <c r="H28" s="17">
        <f>G28-I28</f>
        <v>248.49110280604197</v>
      </c>
      <c r="I28" s="17">
        <f>J28+L28</f>
        <v>350.3551096888288</v>
      </c>
      <c r="J28" s="14">
        <f>(J20*J29)/1000</f>
        <v>117.96742631910715</v>
      </c>
      <c r="K28" s="14">
        <f>(K24*(R39/100))+D28*(1-(V31/100))*(K22/(L22+K22))</f>
        <v>57.711646700947988</v>
      </c>
      <c r="L28" s="14">
        <f>(L24*(R39/100))+D28*(1-(V31/100))*(L22/(L22+K22))</f>
        <v>232.38768336972166</v>
      </c>
      <c r="M28" s="14">
        <f>L28</f>
        <v>232.38768336972166</v>
      </c>
      <c r="N28" s="14">
        <f>M28</f>
        <v>232.38768336972166</v>
      </c>
      <c r="Q28" s="10" t="s">
        <v>19</v>
      </c>
      <c r="R28" s="20">
        <v>50</v>
      </c>
      <c r="S28" s="11" t="s">
        <v>29</v>
      </c>
      <c r="U28" s="10" t="s">
        <v>49</v>
      </c>
      <c r="V28" s="19">
        <f>G20*R29</f>
        <v>1133.0794520547929</v>
      </c>
      <c r="W28" s="3" t="s">
        <v>50</v>
      </c>
    </row>
    <row r="29" spans="2:23" x14ac:dyDescent="0.25">
      <c r="B29" s="228"/>
      <c r="C29" s="11" t="s">
        <v>27</v>
      </c>
      <c r="D29" s="15">
        <f>R20</f>
        <v>14260</v>
      </c>
      <c r="E29" s="15">
        <v>0</v>
      </c>
      <c r="F29" s="15">
        <f>J29</f>
        <v>510.51626016633054</v>
      </c>
      <c r="G29" s="15">
        <f>(G28/G20)*1000</f>
        <v>1585.5363313019784</v>
      </c>
      <c r="H29" s="21">
        <f>(H28/H20)*1000</f>
        <v>1754.4478622777146</v>
      </c>
      <c r="I29" s="21">
        <f>(I28/I20)*1000</f>
        <v>1484.1894127165367</v>
      </c>
      <c r="J29" s="15">
        <f>K29</f>
        <v>510.51626016633054</v>
      </c>
      <c r="K29" s="15">
        <f>(K28/K20)*1000</f>
        <v>510.51626016633054</v>
      </c>
      <c r="L29" s="15">
        <f>(L28/L20)*1000</f>
        <v>46631.876117807675</v>
      </c>
      <c r="M29" s="15">
        <f>(M28/M20)*1000</f>
        <v>46631.876117807675</v>
      </c>
      <c r="N29" s="15">
        <f>(N28/N20)*1000</f>
        <v>45874.131114078664</v>
      </c>
      <c r="Q29" s="10" t="s">
        <v>51</v>
      </c>
      <c r="R29" s="20">
        <v>3</v>
      </c>
      <c r="S29" s="11" t="s">
        <v>52</v>
      </c>
    </row>
    <row r="30" spans="2:23" x14ac:dyDescent="0.25">
      <c r="B30" s="228" t="s">
        <v>35</v>
      </c>
      <c r="C30" s="16" t="s">
        <v>34</v>
      </c>
      <c r="D30" s="14">
        <f>(D20*D31)/1000</f>
        <v>193.37889315068466</v>
      </c>
      <c r="E30" s="14">
        <v>0</v>
      </c>
      <c r="F30" s="14">
        <f>(F31*F20)/1000</f>
        <v>78.693990014889408</v>
      </c>
      <c r="G30" s="14">
        <f>D30+E30+F30</f>
        <v>272.07288316557407</v>
      </c>
      <c r="H30" s="17">
        <f>G30-I30</f>
        <v>76.052463080869984</v>
      </c>
      <c r="I30" s="17">
        <f>J30+L30</f>
        <v>196.02042008470409</v>
      </c>
      <c r="J30" s="14">
        <f>(J31*J20)/1000</f>
        <v>154.06534489581682</v>
      </c>
      <c r="K30" s="14">
        <f>(K24*(R40/100))+D30*(1-(V32/100))*(K22/(K22+L22))</f>
        <v>75.371354880927413</v>
      </c>
      <c r="L30" s="14">
        <f>(L24*(R40/100))+D30*(1-(V32/100))*(L22/(K22+L22))</f>
        <v>41.95507518888725</v>
      </c>
      <c r="M30" s="14">
        <f>L30</f>
        <v>41.95507518888725</v>
      </c>
      <c r="N30" s="14">
        <f>M30</f>
        <v>41.95507518888725</v>
      </c>
      <c r="Q30" s="10" t="s">
        <v>53</v>
      </c>
      <c r="R30" s="20">
        <v>4</v>
      </c>
      <c r="S30" s="11" t="s">
        <v>54</v>
      </c>
      <c r="U30" s="231" t="s">
        <v>55</v>
      </c>
      <c r="V30" s="231"/>
      <c r="W30" s="231"/>
    </row>
    <row r="31" spans="2:23" ht="17.25" x14ac:dyDescent="0.25">
      <c r="B31" s="228"/>
      <c r="C31" s="11" t="s">
        <v>27</v>
      </c>
      <c r="D31" s="15">
        <f>R21</f>
        <v>5120</v>
      </c>
      <c r="E31" s="15">
        <v>0</v>
      </c>
      <c r="F31" s="15">
        <f>J31</f>
        <v>666.73374296298334</v>
      </c>
      <c r="G31" s="15">
        <f>(G30/G20)*1000</f>
        <v>720.35429467593224</v>
      </c>
      <c r="H31" s="21">
        <f>(H30/H20)*1000</f>
        <v>536.96120209718379</v>
      </c>
      <c r="I31" s="21">
        <f>(I30/I20)*1000</f>
        <v>830.39015022318142</v>
      </c>
      <c r="J31" s="15">
        <f>K31</f>
        <v>666.73374296298334</v>
      </c>
      <c r="K31" s="15">
        <f>(K30/K20)*1000</f>
        <v>666.73374296298334</v>
      </c>
      <c r="L31" s="15">
        <f>(L30/L20)*1000</f>
        <v>8418.879350024994</v>
      </c>
      <c r="M31" s="15">
        <f>(M30/M20)*1000</f>
        <v>8418.879350024994</v>
      </c>
      <c r="N31" s="15">
        <f>(N30/N20)*1000</f>
        <v>8282.0767099518744</v>
      </c>
      <c r="Q31" s="10" t="s">
        <v>21</v>
      </c>
      <c r="R31" s="22">
        <v>5</v>
      </c>
      <c r="S31" s="11" t="s">
        <v>56</v>
      </c>
      <c r="U31" s="10" t="s">
        <v>32</v>
      </c>
      <c r="V31" s="3">
        <v>90</v>
      </c>
      <c r="W31" s="11" t="s">
        <v>29</v>
      </c>
    </row>
    <row r="32" spans="2:23" x14ac:dyDescent="0.25">
      <c r="B32" s="232" t="s">
        <v>38</v>
      </c>
      <c r="C32" s="151" t="s">
        <v>34</v>
      </c>
      <c r="D32" s="152">
        <f>(D20*D33)/1000</f>
        <v>125.69628054794504</v>
      </c>
      <c r="E32" s="152">
        <v>0</v>
      </c>
      <c r="F32" s="152">
        <f>(F33*F20)/1000</f>
        <v>2.2425530821917778</v>
      </c>
      <c r="G32" s="152">
        <f>D32+E32+F32</f>
        <v>127.93883363013681</v>
      </c>
      <c r="H32" s="152">
        <f>G32*0.1</f>
        <v>12.793883363013682</v>
      </c>
      <c r="I32" s="152">
        <f>G32-H32</f>
        <v>115.14495026712314</v>
      </c>
      <c r="J32" s="152">
        <f>(J33*J20)/1000</f>
        <v>4.3904205898021242</v>
      </c>
      <c r="K32" s="152">
        <f>(K20*K33)/1000</f>
        <v>2.1478675076103468</v>
      </c>
      <c r="L32" s="152">
        <f>I32-J32</f>
        <v>110.75452967732102</v>
      </c>
      <c r="M32" s="152">
        <f>L32</f>
        <v>110.75452967732102</v>
      </c>
      <c r="N32" s="152">
        <f>M32</f>
        <v>110.75452967732102</v>
      </c>
      <c r="Q32" s="10" t="s">
        <v>57</v>
      </c>
      <c r="R32" s="11">
        <v>2</v>
      </c>
      <c r="S32" s="11" t="s">
        <v>58</v>
      </c>
      <c r="U32" s="10" t="s">
        <v>33</v>
      </c>
      <c r="V32" s="3">
        <v>60</v>
      </c>
      <c r="W32" s="11" t="s">
        <v>29</v>
      </c>
    </row>
    <row r="33" spans="2:23" ht="17.25" x14ac:dyDescent="0.25">
      <c r="B33" s="232"/>
      <c r="C33" s="153" t="s">
        <v>27</v>
      </c>
      <c r="D33" s="154">
        <f>R22</f>
        <v>3328</v>
      </c>
      <c r="E33" s="154">
        <v>0</v>
      </c>
      <c r="F33" s="154">
        <f>J33</f>
        <v>19</v>
      </c>
      <c r="G33" s="154">
        <f>(G31/G20)*1000</f>
        <v>1907.2474398055654</v>
      </c>
      <c r="H33" s="154">
        <f>(H32/H20)*1000</f>
        <v>90.330000000000013</v>
      </c>
      <c r="I33" s="154">
        <f>(I32/I20)*1000</f>
        <v>487.78200000000004</v>
      </c>
      <c r="J33" s="154">
        <v>19</v>
      </c>
      <c r="K33" s="154">
        <v>19</v>
      </c>
      <c r="L33" s="154">
        <f>(L32/L20)*1000</f>
        <v>22224.463157894737</v>
      </c>
      <c r="M33" s="154">
        <f>(M32/M20)*1000</f>
        <v>22224.463157894737</v>
      </c>
      <c r="N33" s="154">
        <f>(N32/N20)*1000</f>
        <v>21863.326585222658</v>
      </c>
      <c r="P33" s="5"/>
      <c r="Q33" s="10" t="s">
        <v>59</v>
      </c>
      <c r="R33" s="15">
        <f>(I24*1000)/V27</f>
        <v>16.666666666666668</v>
      </c>
      <c r="S33" s="11" t="s">
        <v>60</v>
      </c>
      <c r="U33" s="10" t="s">
        <v>36</v>
      </c>
      <c r="V33" s="3">
        <v>60</v>
      </c>
      <c r="W33" s="11" t="s">
        <v>29</v>
      </c>
    </row>
    <row r="34" spans="2:23" x14ac:dyDescent="0.25">
      <c r="B34" s="228" t="s">
        <v>40</v>
      </c>
      <c r="C34" s="16" t="s">
        <v>34</v>
      </c>
      <c r="D34" s="14">
        <f>(D20*D35)/1000</f>
        <v>2.8704679452054758</v>
      </c>
      <c r="E34" s="14">
        <v>0</v>
      </c>
      <c r="F34" s="14">
        <f>(F35*F20)/1000</f>
        <v>1.1887347626372635</v>
      </c>
      <c r="G34" s="14">
        <f>D34+E34+F34</f>
        <v>4.0592027078427391</v>
      </c>
      <c r="H34" s="17">
        <f>G34-I34</f>
        <v>0.34210382389252469</v>
      </c>
      <c r="I34" s="17">
        <f>J34+L34</f>
        <v>3.7170988839502144</v>
      </c>
      <c r="J34" s="14">
        <f>(J35*J20)/1000</f>
        <v>2.3272785019631756</v>
      </c>
      <c r="K34" s="14">
        <f>(K24*(R41/100))+D34*(1-(V33/100))*(K22/(K22+L22))</f>
        <v>1.1385437393259121</v>
      </c>
      <c r="L34" s="14">
        <f>(L24*(R41/100))+D34*(1-(V33/100))*(L22/(K22+L22))</f>
        <v>1.3898203819870385</v>
      </c>
      <c r="M34" s="14">
        <f>L34</f>
        <v>1.3898203819870385</v>
      </c>
      <c r="N34" s="14">
        <f>M34+O63</f>
        <v>83.706045833375754</v>
      </c>
    </row>
    <row r="35" spans="2:23" x14ac:dyDescent="0.25">
      <c r="B35" s="228"/>
      <c r="C35" s="11" t="s">
        <v>27</v>
      </c>
      <c r="D35" s="15">
        <f>R23</f>
        <v>76</v>
      </c>
      <c r="E35" s="15">
        <v>0</v>
      </c>
      <c r="F35" s="15">
        <f>J35</f>
        <v>10.071538849833347</v>
      </c>
      <c r="G35" s="15">
        <f>(G34/G20)*1000</f>
        <v>10.747355890572921</v>
      </c>
      <c r="H35" s="21">
        <f>(H34/H20)*1000</f>
        <v>2.4153916004540266</v>
      </c>
      <c r="I35" s="21">
        <f>(I34/I20)*1000</f>
        <v>15.74653446464426</v>
      </c>
      <c r="J35" s="15">
        <f>K35</f>
        <v>10.071538849833347</v>
      </c>
      <c r="K35" s="15">
        <f>(K34/K20)*1000</f>
        <v>10.071538849833347</v>
      </c>
      <c r="L35" s="15">
        <f>(L34/L20)*1000</f>
        <v>278.88712060403435</v>
      </c>
      <c r="M35" s="15">
        <f>(M34/M20)*1000</f>
        <v>278.88712060403435</v>
      </c>
      <c r="N35" s="15">
        <f>(N34/N20)*1000</f>
        <v>16523.862478082057</v>
      </c>
      <c r="Q35" s="231" t="s">
        <v>61</v>
      </c>
      <c r="R35" s="231"/>
      <c r="S35" s="231"/>
      <c r="U35" s="231" t="s">
        <v>519</v>
      </c>
      <c r="V35" s="231"/>
      <c r="W35" s="231"/>
    </row>
    <row r="36" spans="2:23" ht="17.25" x14ac:dyDescent="0.25">
      <c r="B36" s="228" t="s">
        <v>62</v>
      </c>
      <c r="C36" s="16" t="s">
        <v>34</v>
      </c>
      <c r="D36" s="14">
        <v>0</v>
      </c>
      <c r="E36" s="14">
        <v>0</v>
      </c>
      <c r="F36" s="14">
        <f>(F37*F20)/1000</f>
        <v>6.2337054133689902</v>
      </c>
      <c r="G36" s="14">
        <f>D36+E36+F36</f>
        <v>6.2337054133689902</v>
      </c>
      <c r="H36" s="14">
        <v>0</v>
      </c>
      <c r="I36" s="14">
        <f>J36+L36</f>
        <v>244.08419863013668</v>
      </c>
      <c r="J36" s="14">
        <f>J24*(R36/100)</f>
        <v>12.204209931506844</v>
      </c>
      <c r="K36" s="14">
        <f>K24*(R36/100)</f>
        <v>5.9705045181378544</v>
      </c>
      <c r="L36" s="14">
        <f>L24*(R36/100)</f>
        <v>231.87998869862983</v>
      </c>
      <c r="M36" s="14">
        <f>L36</f>
        <v>231.87998869862983</v>
      </c>
      <c r="N36" s="14">
        <f>M36</f>
        <v>231.87998869862983</v>
      </c>
      <c r="Q36" s="10" t="s">
        <v>62</v>
      </c>
      <c r="R36" s="3">
        <v>51.7</v>
      </c>
      <c r="S36" s="11" t="s">
        <v>29</v>
      </c>
      <c r="U36" s="10" t="s">
        <v>63</v>
      </c>
      <c r="V36" s="3" t="s">
        <v>39</v>
      </c>
      <c r="W36" s="11" t="s">
        <v>64</v>
      </c>
    </row>
    <row r="37" spans="2:23" x14ac:dyDescent="0.25">
      <c r="B37" s="228"/>
      <c r="C37" s="11" t="s">
        <v>27</v>
      </c>
      <c r="D37" s="15">
        <v>0</v>
      </c>
      <c r="E37" s="15">
        <v>0</v>
      </c>
      <c r="F37" s="15">
        <f>J37</f>
        <v>52.814982973893358</v>
      </c>
      <c r="G37" s="15">
        <f>(G36/G20)*1000</f>
        <v>16.504682179341678</v>
      </c>
      <c r="H37" s="15">
        <v>0</v>
      </c>
      <c r="I37" s="15">
        <f t="shared" ref="I37:N37" si="3">(I36/I20)*1000</f>
        <v>1034.0000000000002</v>
      </c>
      <c r="J37" s="15">
        <f t="shared" si="3"/>
        <v>52.814982973893358</v>
      </c>
      <c r="K37" s="15">
        <f t="shared" si="3"/>
        <v>52.814982973893358</v>
      </c>
      <c r="L37" s="15">
        <f t="shared" si="3"/>
        <v>46530</v>
      </c>
      <c r="M37" s="15">
        <f t="shared" si="3"/>
        <v>46530</v>
      </c>
      <c r="N37" s="15">
        <f t="shared" si="3"/>
        <v>45773.910432974277</v>
      </c>
      <c r="Q37" s="10" t="s">
        <v>65</v>
      </c>
      <c r="R37" s="3">
        <v>22.3</v>
      </c>
      <c r="S37" s="11" t="s">
        <v>29</v>
      </c>
      <c r="U37" s="23" t="s">
        <v>66</v>
      </c>
      <c r="V37" s="3">
        <v>90</v>
      </c>
      <c r="W37" s="3" t="s">
        <v>58</v>
      </c>
    </row>
    <row r="38" spans="2:23" x14ac:dyDescent="0.25">
      <c r="B38" s="228" t="s">
        <v>65</v>
      </c>
      <c r="C38" s="16" t="s">
        <v>34</v>
      </c>
      <c r="D38" s="14">
        <v>0</v>
      </c>
      <c r="E38" s="14">
        <v>0</v>
      </c>
      <c r="F38" s="14">
        <f>(F39*F20)/1000</f>
        <v>2.6888129732713435</v>
      </c>
      <c r="G38" s="14">
        <f>D38+E38+F38</f>
        <v>2.6888129732713435</v>
      </c>
      <c r="H38" s="14">
        <v>0</v>
      </c>
      <c r="I38" s="14">
        <f>J38+L38</f>
        <v>105.28196575342452</v>
      </c>
      <c r="J38" s="14">
        <f>J24*(R37/100)</f>
        <v>5.2640982876712306</v>
      </c>
      <c r="K38" s="14">
        <f>K24*(R37/100)</f>
        <v>2.5752853143998866</v>
      </c>
      <c r="L38" s="14">
        <f>L24*(R37/100)</f>
        <v>100.01786746575328</v>
      </c>
      <c r="M38" s="14">
        <f>L38</f>
        <v>100.01786746575328</v>
      </c>
      <c r="N38" s="14">
        <f>M38</f>
        <v>100.01786746575328</v>
      </c>
      <c r="Q38" s="10" t="s">
        <v>67</v>
      </c>
      <c r="R38" s="3">
        <v>13.4</v>
      </c>
      <c r="S38" s="11" t="s">
        <v>29</v>
      </c>
      <c r="U38" s="23" t="s">
        <v>68</v>
      </c>
      <c r="V38" s="229">
        <f>V37/R32</f>
        <v>45</v>
      </c>
      <c r="W38" s="230"/>
    </row>
    <row r="39" spans="2:23" x14ac:dyDescent="0.25">
      <c r="B39" s="228"/>
      <c r="C39" s="11" t="s">
        <v>27</v>
      </c>
      <c r="D39" s="15">
        <v>0</v>
      </c>
      <c r="E39" s="15">
        <v>0</v>
      </c>
      <c r="F39" s="15">
        <f>J39</f>
        <v>22.780930760499455</v>
      </c>
      <c r="G39" s="15">
        <f>(G38/G20)*1000</f>
        <v>7.119040862656079</v>
      </c>
      <c r="H39" s="15">
        <v>0</v>
      </c>
      <c r="I39" s="15">
        <f t="shared" ref="I39:N39" si="4">(I38/I20)*1000</f>
        <v>446</v>
      </c>
      <c r="J39" s="15">
        <f t="shared" si="4"/>
        <v>22.780930760499455</v>
      </c>
      <c r="K39" s="15">
        <f t="shared" si="4"/>
        <v>22.780930760499452</v>
      </c>
      <c r="L39" s="15">
        <f t="shared" si="4"/>
        <v>20070</v>
      </c>
      <c r="M39" s="15">
        <f t="shared" si="4"/>
        <v>20070</v>
      </c>
      <c r="N39" s="15">
        <f t="shared" si="4"/>
        <v>19743.872391785808</v>
      </c>
      <c r="Q39" s="10" t="s">
        <v>28</v>
      </c>
      <c r="R39" s="3">
        <v>51.35</v>
      </c>
      <c r="S39" s="11" t="s">
        <v>29</v>
      </c>
    </row>
    <row r="40" spans="2:23" x14ac:dyDescent="0.25">
      <c r="B40" s="228" t="s">
        <v>67</v>
      </c>
      <c r="C40" s="16" t="s">
        <v>34</v>
      </c>
      <c r="D40" s="14">
        <v>0</v>
      </c>
      <c r="E40" s="14">
        <v>0</v>
      </c>
      <c r="F40" s="14">
        <f>(F41*F20)/1000</f>
        <v>1.615699275418655</v>
      </c>
      <c r="G40" s="14">
        <f>D40+E40+F40</f>
        <v>1.615699275418655</v>
      </c>
      <c r="H40" s="14">
        <v>0</v>
      </c>
      <c r="I40" s="14">
        <f>J40+L40</f>
        <v>63.263602739725947</v>
      </c>
      <c r="J40" s="14">
        <f>J24*(R38/100)</f>
        <v>3.1631801369862997</v>
      </c>
      <c r="K40" s="14">
        <f>K24*(R38/100)</f>
        <v>1.547480861567645</v>
      </c>
      <c r="L40" s="14">
        <f>L24*(R38/100)</f>
        <v>60.100422602739648</v>
      </c>
      <c r="M40" s="14">
        <f>L40</f>
        <v>60.100422602739648</v>
      </c>
      <c r="N40" s="14">
        <f>M40</f>
        <v>60.100422602739648</v>
      </c>
      <c r="Q40" s="10" t="s">
        <v>33</v>
      </c>
      <c r="R40" s="19">
        <f>R36/5.95</f>
        <v>8.6890756302521019</v>
      </c>
      <c r="S40" s="11" t="s">
        <v>29</v>
      </c>
    </row>
    <row r="41" spans="2:23" x14ac:dyDescent="0.25">
      <c r="B41" s="228"/>
      <c r="C41" s="11" t="s">
        <v>27</v>
      </c>
      <c r="D41" s="15">
        <v>0</v>
      </c>
      <c r="E41" s="15">
        <v>0</v>
      </c>
      <c r="F41" s="15">
        <f>J41</f>
        <v>13.688989784335995</v>
      </c>
      <c r="G41" s="15">
        <f>(G40/G20)*1000</f>
        <v>4.2778093076049988</v>
      </c>
      <c r="H41" s="15">
        <v>0</v>
      </c>
      <c r="I41" s="15">
        <f t="shared" ref="I41:N41" si="5">(I40/I20)*1000</f>
        <v>268</v>
      </c>
      <c r="J41" s="15">
        <f t="shared" si="5"/>
        <v>13.688989784335995</v>
      </c>
      <c r="K41" s="15">
        <f t="shared" si="5"/>
        <v>13.688989784335996</v>
      </c>
      <c r="L41" s="15">
        <f t="shared" si="5"/>
        <v>12060</v>
      </c>
      <c r="M41" s="15">
        <f t="shared" si="5"/>
        <v>12060</v>
      </c>
      <c r="N41" s="15">
        <f t="shared" si="5"/>
        <v>11864.030943943042</v>
      </c>
      <c r="Q41" s="10" t="s">
        <v>36</v>
      </c>
      <c r="R41" s="3">
        <v>0.3</v>
      </c>
      <c r="S41" s="11" t="s">
        <v>29</v>
      </c>
    </row>
    <row r="42" spans="2:23" x14ac:dyDescent="0.25">
      <c r="F42" s="5"/>
      <c r="J42" s="24"/>
      <c r="K42" s="24"/>
    </row>
    <row r="43" spans="2:23" x14ac:dyDescent="0.25">
      <c r="J43" s="25"/>
      <c r="K43" s="25"/>
      <c r="N43" s="5">
        <f>(N26/N21)*100</f>
        <v>8.8537544357783897</v>
      </c>
    </row>
    <row r="44" spans="2:23" x14ac:dyDescent="0.25">
      <c r="B44" s="197" t="s">
        <v>69</v>
      </c>
      <c r="C44" s="197"/>
      <c r="D44" s="197"/>
      <c r="E44" s="19">
        <f>(((G32-H32)-I32)/(G32-H32))*100</f>
        <v>0</v>
      </c>
      <c r="F44" s="26" t="s">
        <v>70</v>
      </c>
    </row>
    <row r="46" spans="2:23" x14ac:dyDescent="0.25">
      <c r="B46" s="197" t="s">
        <v>71</v>
      </c>
      <c r="C46" s="197"/>
      <c r="D46" s="197"/>
      <c r="E46" s="197"/>
      <c r="H46" s="5"/>
    </row>
    <row r="47" spans="2:23" x14ac:dyDescent="0.25">
      <c r="B47" s="3"/>
      <c r="C47" s="27" t="s">
        <v>72</v>
      </c>
      <c r="D47" s="27" t="s">
        <v>73</v>
      </c>
      <c r="E47" s="27" t="s">
        <v>74</v>
      </c>
    </row>
    <row r="48" spans="2:23" x14ac:dyDescent="0.25">
      <c r="B48" s="27" t="s">
        <v>35</v>
      </c>
      <c r="C48" s="19">
        <f>D30</f>
        <v>193.37889315068466</v>
      </c>
      <c r="D48" s="19">
        <f>H30+K30+N30</f>
        <v>193.37889315068463</v>
      </c>
      <c r="E48" s="19">
        <f>N24*(R40/100)</f>
        <v>38.971426672038632</v>
      </c>
    </row>
    <row r="49" spans="2:24" x14ac:dyDescent="0.25">
      <c r="B49" s="27" t="s">
        <v>40</v>
      </c>
      <c r="C49" s="19">
        <f>D34</f>
        <v>2.8704679452054758</v>
      </c>
      <c r="D49" s="19">
        <f>H34+K34+N34</f>
        <v>85.186693396594194</v>
      </c>
      <c r="E49" s="19">
        <f>N24*(R41/100)</f>
        <v>1.3455318493150668</v>
      </c>
    </row>
    <row r="50" spans="2:24" x14ac:dyDescent="0.25">
      <c r="B50" s="27" t="s">
        <v>38</v>
      </c>
      <c r="C50" s="19">
        <f>D32</f>
        <v>125.69628054794504</v>
      </c>
      <c r="D50" s="19">
        <f>H32+K32+N32</f>
        <v>125.69628054794505</v>
      </c>
      <c r="E50" s="19">
        <f>D32*(E44/100)</f>
        <v>0</v>
      </c>
      <c r="F50" s="28"/>
    </row>
    <row r="51" spans="2:24" x14ac:dyDescent="0.25">
      <c r="B51" s="27" t="s">
        <v>30</v>
      </c>
      <c r="C51" s="19">
        <f>D20+E20</f>
        <v>259.66404109589001</v>
      </c>
      <c r="D51" s="19">
        <f>H20+N20+K20</f>
        <v>259.74635732134141</v>
      </c>
      <c r="E51" s="19" t="s">
        <v>39</v>
      </c>
    </row>
    <row r="54" spans="2:24" ht="20.25" thickBot="1" x14ac:dyDescent="0.35">
      <c r="B54" s="201" t="s">
        <v>75</v>
      </c>
      <c r="C54" s="201"/>
      <c r="D54" s="201"/>
      <c r="E54" s="201"/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</row>
    <row r="55" spans="2:24" ht="15.75" thickTop="1" x14ac:dyDescent="0.25"/>
    <row r="56" spans="2:24" x14ac:dyDescent="0.25">
      <c r="B56" s="222" t="s">
        <v>76</v>
      </c>
      <c r="C56" s="222"/>
      <c r="D56" s="222"/>
      <c r="F56" s="222" t="s">
        <v>41</v>
      </c>
      <c r="G56" s="222"/>
      <c r="H56" s="222"/>
      <c r="J56" s="222" t="s">
        <v>77</v>
      </c>
      <c r="K56" s="222"/>
      <c r="L56" s="222"/>
      <c r="N56" s="222" t="s">
        <v>78</v>
      </c>
      <c r="O56" s="222"/>
      <c r="P56" s="222"/>
      <c r="R56" s="222" t="s">
        <v>79</v>
      </c>
      <c r="S56" s="222"/>
      <c r="T56" s="222"/>
      <c r="V56" s="225" t="s">
        <v>339</v>
      </c>
      <c r="W56" s="226"/>
      <c r="X56" s="227"/>
    </row>
    <row r="57" spans="2:24" ht="18.75" x14ac:dyDescent="0.35">
      <c r="B57" s="29" t="s">
        <v>47</v>
      </c>
      <c r="C57" s="19">
        <f>V27</f>
        <v>28326.986301369823</v>
      </c>
      <c r="D57" s="3" t="s">
        <v>48</v>
      </c>
      <c r="F57" s="30" t="s">
        <v>47</v>
      </c>
      <c r="G57" s="15" t="s">
        <v>39</v>
      </c>
      <c r="H57" s="11" t="s">
        <v>48</v>
      </c>
      <c r="J57" s="30" t="s">
        <v>80</v>
      </c>
      <c r="K57" s="11">
        <v>400</v>
      </c>
      <c r="L57" s="11" t="s">
        <v>81</v>
      </c>
      <c r="N57" s="30" t="s">
        <v>82</v>
      </c>
      <c r="O57" s="11">
        <v>2</v>
      </c>
      <c r="P57" s="11" t="s">
        <v>29</v>
      </c>
      <c r="R57" s="30" t="s">
        <v>83</v>
      </c>
      <c r="S57" s="19">
        <f>N20</f>
        <v>5.0657675192108957</v>
      </c>
      <c r="T57" s="3" t="s">
        <v>31</v>
      </c>
      <c r="V57" s="118" t="s">
        <v>340</v>
      </c>
      <c r="W57" s="116">
        <f>(W58*(W59/W60)*W61)/1000</f>
        <v>2.124551845083213E-2</v>
      </c>
      <c r="X57" s="3" t="s">
        <v>118</v>
      </c>
    </row>
    <row r="58" spans="2:24" ht="17.25" x14ac:dyDescent="0.25">
      <c r="B58" s="29" t="s">
        <v>49</v>
      </c>
      <c r="C58" s="19">
        <f>V28</f>
        <v>1133.0794520547929</v>
      </c>
      <c r="D58" s="3" t="s">
        <v>50</v>
      </c>
      <c r="F58" s="30" t="s">
        <v>84</v>
      </c>
      <c r="G58" s="11" t="s">
        <v>39</v>
      </c>
      <c r="H58" s="11" t="s">
        <v>85</v>
      </c>
      <c r="J58" s="30" t="s">
        <v>84</v>
      </c>
      <c r="K58" s="13">
        <f>10/60</f>
        <v>0.16666666666666666</v>
      </c>
      <c r="L58" s="11" t="s">
        <v>85</v>
      </c>
      <c r="N58" s="30" t="s">
        <v>86</v>
      </c>
      <c r="O58" s="15">
        <f>(O57/100)*M24</f>
        <v>8.9702123287671114</v>
      </c>
      <c r="P58" s="11" t="s">
        <v>34</v>
      </c>
      <c r="R58" s="30" t="s">
        <v>51</v>
      </c>
      <c r="S58" s="3">
        <v>24</v>
      </c>
      <c r="T58" s="3" t="s">
        <v>85</v>
      </c>
      <c r="V58" s="27" t="s">
        <v>47</v>
      </c>
      <c r="W58" s="116">
        <f>I204</f>
        <v>1.8969212902528687</v>
      </c>
      <c r="X58" s="3" t="s">
        <v>48</v>
      </c>
    </row>
    <row r="59" spans="2:24" ht="18.75" x14ac:dyDescent="0.35">
      <c r="B59" s="29" t="s">
        <v>53</v>
      </c>
      <c r="C59" s="3">
        <f>R30/100</f>
        <v>0.04</v>
      </c>
      <c r="D59" s="3" t="s">
        <v>87</v>
      </c>
      <c r="F59" s="30" t="s">
        <v>88</v>
      </c>
      <c r="G59" s="3" t="s">
        <v>39</v>
      </c>
      <c r="H59" s="11" t="s">
        <v>48</v>
      </c>
      <c r="J59" s="30" t="s">
        <v>89</v>
      </c>
      <c r="K59" s="11">
        <v>50</v>
      </c>
      <c r="L59" s="11" t="s">
        <v>90</v>
      </c>
      <c r="N59" s="30" t="s">
        <v>91</v>
      </c>
      <c r="O59" s="11">
        <v>10</v>
      </c>
      <c r="P59" s="11" t="s">
        <v>92</v>
      </c>
      <c r="R59" s="30" t="s">
        <v>49</v>
      </c>
      <c r="S59" s="19">
        <f>S57*(S58/24)</f>
        <v>5.0657675192108957</v>
      </c>
      <c r="T59" s="3" t="s">
        <v>50</v>
      </c>
      <c r="V59" s="118" t="s">
        <v>341</v>
      </c>
      <c r="W59" s="3">
        <v>4.2000000000000003E-2</v>
      </c>
      <c r="X59" s="3" t="s">
        <v>342</v>
      </c>
    </row>
    <row r="60" spans="2:24" ht="17.25" x14ac:dyDescent="0.25">
      <c r="B60" s="29" t="s">
        <v>91</v>
      </c>
      <c r="C60" s="11">
        <v>50</v>
      </c>
      <c r="D60" s="3" t="s">
        <v>93</v>
      </c>
      <c r="F60" s="30" t="s">
        <v>520</v>
      </c>
      <c r="G60" s="155" t="s">
        <v>39</v>
      </c>
      <c r="H60" s="3"/>
      <c r="J60" s="30" t="s">
        <v>94</v>
      </c>
      <c r="K60" s="19">
        <f>K59*L24</f>
        <v>22425.530821917779</v>
      </c>
      <c r="L60" s="11" t="s">
        <v>95</v>
      </c>
      <c r="N60" s="30" t="s">
        <v>96</v>
      </c>
      <c r="O60" s="15">
        <f>O58*O59</f>
        <v>89.702123287671114</v>
      </c>
      <c r="P60" s="11" t="s">
        <v>97</v>
      </c>
      <c r="V60" s="27" t="s">
        <v>343</v>
      </c>
      <c r="W60" s="3">
        <v>7.4999999999999997E-2</v>
      </c>
      <c r="X60" s="3" t="s">
        <v>87</v>
      </c>
    </row>
    <row r="61" spans="2:24" x14ac:dyDescent="0.25">
      <c r="B61" s="29" t="s">
        <v>96</v>
      </c>
      <c r="C61" s="19">
        <f>C58*C60</f>
        <v>56653.972602739646</v>
      </c>
      <c r="D61" s="3" t="s">
        <v>98</v>
      </c>
      <c r="N61" s="30" t="s">
        <v>51</v>
      </c>
      <c r="O61" s="3">
        <v>4</v>
      </c>
      <c r="P61" s="11" t="s">
        <v>85</v>
      </c>
      <c r="V61" s="27" t="s">
        <v>344</v>
      </c>
      <c r="W61" s="3">
        <f>T70-T69</f>
        <v>20</v>
      </c>
      <c r="X61" s="3" t="s">
        <v>345</v>
      </c>
    </row>
    <row r="62" spans="2:24" ht="17.25" x14ac:dyDescent="0.25">
      <c r="B62" s="29" t="s">
        <v>51</v>
      </c>
      <c r="C62" s="3">
        <v>24</v>
      </c>
      <c r="D62" s="3" t="s">
        <v>85</v>
      </c>
      <c r="N62" s="30" t="s">
        <v>49</v>
      </c>
      <c r="O62" s="15">
        <f>(M20/24)*O61</f>
        <v>0.83057521562658432</v>
      </c>
      <c r="P62" s="3" t="s">
        <v>50</v>
      </c>
    </row>
    <row r="63" spans="2:24" x14ac:dyDescent="0.25">
      <c r="N63" s="30" t="s">
        <v>99</v>
      </c>
      <c r="O63" s="19">
        <v>82.316225451388718</v>
      </c>
      <c r="P63" s="11" t="s">
        <v>34</v>
      </c>
    </row>
    <row r="65" spans="2:25" ht="20.25" thickBot="1" x14ac:dyDescent="0.35">
      <c r="B65" s="201" t="s">
        <v>100</v>
      </c>
      <c r="C65" s="201"/>
      <c r="D65" s="201"/>
      <c r="E65" s="201"/>
      <c r="F65" s="201"/>
      <c r="G65" s="201"/>
      <c r="H65" s="201"/>
      <c r="I65" s="201"/>
      <c r="J65" s="201"/>
      <c r="K65" s="201"/>
      <c r="L65" s="201"/>
      <c r="M65" s="201"/>
      <c r="N65" s="201"/>
      <c r="O65" s="201"/>
      <c r="P65" s="201"/>
      <c r="S65" s="223" t="s">
        <v>101</v>
      </c>
      <c r="T65" s="223"/>
      <c r="U65" s="223"/>
      <c r="V65" s="223"/>
      <c r="W65" s="223"/>
      <c r="X65" s="223"/>
      <c r="Y65" s="223"/>
    </row>
    <row r="66" spans="2:25" ht="15.75" thickTop="1" x14ac:dyDescent="0.25"/>
    <row r="67" spans="2:25" ht="17.25" x14ac:dyDescent="0.25">
      <c r="B67" s="202" t="s">
        <v>102</v>
      </c>
      <c r="C67" s="202"/>
      <c r="D67" s="202"/>
      <c r="E67" s="202"/>
      <c r="F67" s="202"/>
      <c r="G67" s="202"/>
      <c r="I67" s="202" t="s">
        <v>102</v>
      </c>
      <c r="J67" s="202"/>
      <c r="K67" s="202"/>
      <c r="L67" s="202"/>
      <c r="M67" s="202"/>
      <c r="N67" s="202"/>
      <c r="O67" s="202"/>
      <c r="P67" s="202"/>
      <c r="S67" s="198" t="s">
        <v>103</v>
      </c>
      <c r="T67" s="15">
        <f>M20</f>
        <v>4.9834512937595061</v>
      </c>
      <c r="U67" s="11" t="s">
        <v>31</v>
      </c>
      <c r="W67" s="198" t="s">
        <v>104</v>
      </c>
      <c r="X67" s="198"/>
      <c r="Y67" s="198"/>
    </row>
    <row r="68" spans="2:25" x14ac:dyDescent="0.25">
      <c r="B68" s="32" t="s">
        <v>105</v>
      </c>
      <c r="C68" s="224" t="s">
        <v>106</v>
      </c>
      <c r="D68" s="224"/>
      <c r="E68" s="32" t="s">
        <v>107</v>
      </c>
      <c r="F68" s="224" t="s">
        <v>108</v>
      </c>
      <c r="G68" s="224"/>
      <c r="I68" s="32" t="s">
        <v>109</v>
      </c>
      <c r="J68" s="32" t="s">
        <v>110</v>
      </c>
      <c r="K68" s="224" t="s">
        <v>108</v>
      </c>
      <c r="L68" s="224"/>
      <c r="M68" s="32" t="s">
        <v>107</v>
      </c>
      <c r="N68" s="32" t="s">
        <v>111</v>
      </c>
      <c r="O68" s="32" t="s">
        <v>112</v>
      </c>
      <c r="P68" s="32" t="s">
        <v>29</v>
      </c>
      <c r="S68" s="198"/>
      <c r="T68" s="15">
        <f>M21</f>
        <v>4983.4512937595064</v>
      </c>
      <c r="U68" s="3" t="s">
        <v>34</v>
      </c>
      <c r="W68" s="220" t="s">
        <v>30</v>
      </c>
      <c r="X68" s="3">
        <f>X70*X71*(X72-X73)/1000</f>
        <v>416616.52815829468</v>
      </c>
      <c r="Y68" s="3" t="s">
        <v>113</v>
      </c>
    </row>
    <row r="69" spans="2:25" ht="17.25" x14ac:dyDescent="0.25">
      <c r="B69" s="3">
        <v>1</v>
      </c>
      <c r="C69" s="3">
        <f>'[1]Escenario 1'!C69</f>
        <v>4</v>
      </c>
      <c r="D69" s="3" t="s">
        <v>114</v>
      </c>
      <c r="E69" s="33">
        <f>'[1]Escenario 1'!E69</f>
        <v>6774</v>
      </c>
      <c r="F69" s="19">
        <f>(C124*C123)/C122</f>
        <v>15.737214611872124</v>
      </c>
      <c r="G69" s="3" t="s">
        <v>114</v>
      </c>
      <c r="I69" s="34">
        <v>1</v>
      </c>
      <c r="J69" s="34" t="s">
        <v>115</v>
      </c>
      <c r="K69" s="19">
        <f>+IF(F69/C69&lt;1,C69,IF(F69/C69&lt;10,F69,F69/(1+INT(F69/(C69*10)))))</f>
        <v>15.737214611872124</v>
      </c>
      <c r="L69" s="3" t="s">
        <v>114</v>
      </c>
      <c r="M69" s="33">
        <f t="shared" ref="M69:M84" si="6">E69*(K69/C69)^$D$86</f>
        <v>21701.156903190928</v>
      </c>
      <c r="N69" s="3">
        <f>+IF(B69=1,ROUNDUP(F69/K69,0),0)</f>
        <v>1</v>
      </c>
      <c r="O69" s="33">
        <f>M69*N69</f>
        <v>21701.156903190928</v>
      </c>
      <c r="P69" s="35">
        <f t="shared" ref="P69:P84" si="7">(O69/$O$85)</f>
        <v>4.6545801386242314E-2</v>
      </c>
      <c r="S69" s="31" t="s">
        <v>116</v>
      </c>
      <c r="T69" s="11">
        <v>30</v>
      </c>
      <c r="U69" s="11" t="s">
        <v>117</v>
      </c>
      <c r="W69" s="220"/>
      <c r="X69" s="19">
        <f>X68/(24*60*60)</f>
        <v>4.8219505573876695</v>
      </c>
      <c r="Y69" s="3" t="s">
        <v>118</v>
      </c>
    </row>
    <row r="70" spans="2:25" ht="17.25" x14ac:dyDescent="0.25">
      <c r="B70" s="3">
        <v>1</v>
      </c>
      <c r="C70" s="3">
        <f>'[1]Escenario 1'!C70</f>
        <v>200</v>
      </c>
      <c r="D70" s="3" t="s">
        <v>114</v>
      </c>
      <c r="E70" s="33">
        <f>'[1]Escenario 1'!E70</f>
        <v>2822.5</v>
      </c>
      <c r="F70" s="19">
        <f>C125*C124*60</f>
        <v>679.84767123287577</v>
      </c>
      <c r="G70" s="3" t="s">
        <v>114</v>
      </c>
      <c r="I70" s="34">
        <v>2</v>
      </c>
      <c r="J70" s="34" t="s">
        <v>119</v>
      </c>
      <c r="K70" s="19">
        <f>+IF(F70/C70&lt;1,C70,IF(F70/C70&lt;10,F70,F70/(1+INT(F70/(C70*10)))))</f>
        <v>679.84767123287577</v>
      </c>
      <c r="L70" s="3" t="s">
        <v>114</v>
      </c>
      <c r="M70" s="33">
        <f t="shared" si="6"/>
        <v>7985.6142295367463</v>
      </c>
      <c r="N70" s="3">
        <f>+IF(B70=1,ROUNDUP(F70/K70,0),0)</f>
        <v>1</v>
      </c>
      <c r="O70" s="33">
        <f>M70*N70</f>
        <v>7985.6142295367463</v>
      </c>
      <c r="P70" s="35">
        <f t="shared" si="7"/>
        <v>1.7127972279695085E-2</v>
      </c>
      <c r="S70" s="31" t="s">
        <v>120</v>
      </c>
      <c r="T70" s="11">
        <v>50</v>
      </c>
      <c r="U70" s="11" t="s">
        <v>117</v>
      </c>
      <c r="W70" s="36" t="s">
        <v>103</v>
      </c>
      <c r="X70" s="19">
        <f>T68</f>
        <v>4983.4512937595064</v>
      </c>
      <c r="Y70" s="3" t="s">
        <v>34</v>
      </c>
    </row>
    <row r="71" spans="2:25" ht="18" x14ac:dyDescent="0.35">
      <c r="B71" s="3">
        <v>1</v>
      </c>
      <c r="C71" s="3">
        <f>'[1]Escenario 1'!C71</f>
        <v>4</v>
      </c>
      <c r="D71" s="3" t="s">
        <v>121</v>
      </c>
      <c r="E71" s="33">
        <f>'[1]Escenario 1'!E71</f>
        <v>564.5</v>
      </c>
      <c r="F71" s="19">
        <f>(C127*C124*C126)/C122</f>
        <v>29.507277397260236</v>
      </c>
      <c r="G71" s="3" t="s">
        <v>121</v>
      </c>
      <c r="I71" s="34">
        <v>3</v>
      </c>
      <c r="J71" s="34" t="s">
        <v>122</v>
      </c>
      <c r="K71" s="19">
        <f t="shared" ref="K71:K84" si="8">+IF(F71/C71&lt;1,C71,IF(F71/C71&lt;10,F71,F71/(1+INT(F71/(C71*10)))))</f>
        <v>29.507277397260236</v>
      </c>
      <c r="L71" s="3" t="s">
        <v>121</v>
      </c>
      <c r="M71" s="33">
        <f t="shared" si="6"/>
        <v>3085.6930490457139</v>
      </c>
      <c r="N71" s="3">
        <f t="shared" ref="N71:N84" si="9">+IF(B71=1,ROUNDUP(F71/K71,0),0)</f>
        <v>1</v>
      </c>
      <c r="O71" s="33">
        <f t="shared" ref="O71:O84" si="10">M71*N71</f>
        <v>3085.6930490457139</v>
      </c>
      <c r="P71" s="35">
        <f t="shared" si="7"/>
        <v>6.6183594008608617E-3</v>
      </c>
      <c r="W71" s="36" t="s">
        <v>123</v>
      </c>
      <c r="X71" s="3">
        <v>4180</v>
      </c>
      <c r="Y71" s="3" t="s">
        <v>124</v>
      </c>
    </row>
    <row r="72" spans="2:25" ht="17.25" x14ac:dyDescent="0.25">
      <c r="B72" s="3">
        <v>1</v>
      </c>
      <c r="C72" s="3">
        <f>'[1]Escenario 1'!C72</f>
        <v>200</v>
      </c>
      <c r="D72" s="3" t="s">
        <v>50</v>
      </c>
      <c r="E72" s="33">
        <f>'[1]Escenario 1'!E72</f>
        <v>10000</v>
      </c>
      <c r="F72" s="19">
        <f>C124</f>
        <v>1133.0794520547929</v>
      </c>
      <c r="G72" s="3" t="s">
        <v>50</v>
      </c>
      <c r="I72" s="34">
        <v>4</v>
      </c>
      <c r="J72" s="34" t="s">
        <v>76</v>
      </c>
      <c r="K72" s="19">
        <f t="shared" si="8"/>
        <v>1133.0794520547929</v>
      </c>
      <c r="L72" s="3" t="s">
        <v>50</v>
      </c>
      <c r="M72" s="33">
        <f t="shared" si="6"/>
        <v>43676.297243828347</v>
      </c>
      <c r="N72" s="3">
        <f t="shared" si="9"/>
        <v>1</v>
      </c>
      <c r="O72" s="33">
        <f t="shared" si="10"/>
        <v>43676.297243828347</v>
      </c>
      <c r="P72" s="35">
        <f t="shared" si="7"/>
        <v>9.3679257095219334E-2</v>
      </c>
      <c r="S72" s="198" t="s">
        <v>30</v>
      </c>
      <c r="T72" s="11">
        <f>(X68*G90)/1000</f>
        <v>152065.03277777755</v>
      </c>
      <c r="U72" s="11" t="s">
        <v>189</v>
      </c>
      <c r="W72" s="36" t="s">
        <v>125</v>
      </c>
      <c r="X72" s="3">
        <f>T70</f>
        <v>50</v>
      </c>
      <c r="Y72" s="3" t="s">
        <v>117</v>
      </c>
    </row>
    <row r="73" spans="2:25" ht="17.25" x14ac:dyDescent="0.25">
      <c r="B73" s="3">
        <v>1</v>
      </c>
      <c r="C73" s="3">
        <f>'[1]Escenario 1'!C73</f>
        <v>1</v>
      </c>
      <c r="D73" s="3" t="s">
        <v>50</v>
      </c>
      <c r="E73" s="33">
        <f>'[1]Escenario 1'!E73</f>
        <v>564.5</v>
      </c>
      <c r="F73" s="19">
        <f>F69</f>
        <v>15.737214611872124</v>
      </c>
      <c r="G73" s="3" t="s">
        <v>50</v>
      </c>
      <c r="I73" s="34">
        <v>5</v>
      </c>
      <c r="J73" s="34" t="s">
        <v>521</v>
      </c>
      <c r="K73" s="19">
        <f t="shared" si="8"/>
        <v>7.8686073059360622</v>
      </c>
      <c r="L73" s="3" t="s">
        <v>50</v>
      </c>
      <c r="M73" s="33">
        <f t="shared" si="6"/>
        <v>3259.6962830318389</v>
      </c>
      <c r="N73" s="3">
        <f t="shared" si="9"/>
        <v>2</v>
      </c>
      <c r="O73" s="33">
        <f t="shared" si="10"/>
        <v>6519.3925660636778</v>
      </c>
      <c r="P73" s="35">
        <f t="shared" si="7"/>
        <v>1.3983141677314235E-2</v>
      </c>
      <c r="S73" s="198"/>
      <c r="T73" s="19">
        <f>X76*F90</f>
        <v>115.72681337730407</v>
      </c>
      <c r="U73" s="11" t="s">
        <v>180</v>
      </c>
      <c r="W73" s="36" t="s">
        <v>126</v>
      </c>
      <c r="X73" s="3">
        <f>T69</f>
        <v>30</v>
      </c>
      <c r="Y73" s="3" t="s">
        <v>117</v>
      </c>
    </row>
    <row r="74" spans="2:25" ht="17.25" x14ac:dyDescent="0.25">
      <c r="B74" s="3">
        <v>1</v>
      </c>
      <c r="C74" s="19">
        <f>F74</f>
        <v>9.8357591324200779</v>
      </c>
      <c r="D74" s="3" t="s">
        <v>114</v>
      </c>
      <c r="E74" s="33">
        <f>J212</f>
        <v>274000</v>
      </c>
      <c r="F74" s="19">
        <f>I20/F90</f>
        <v>9.8357591324200779</v>
      </c>
      <c r="G74" s="3" t="s">
        <v>114</v>
      </c>
      <c r="I74" s="34">
        <v>6</v>
      </c>
      <c r="J74" s="38" t="s">
        <v>519</v>
      </c>
      <c r="K74" s="19">
        <f t="shared" si="8"/>
        <v>9.8357591324200779</v>
      </c>
      <c r="L74" s="3" t="s">
        <v>114</v>
      </c>
      <c r="M74" s="33">
        <f t="shared" si="6"/>
        <v>274000</v>
      </c>
      <c r="N74" s="3">
        <f t="shared" si="9"/>
        <v>1</v>
      </c>
      <c r="O74" s="33">
        <f t="shared" si="10"/>
        <v>274000</v>
      </c>
      <c r="P74" s="35">
        <f t="shared" si="7"/>
        <v>0.58768984698484528</v>
      </c>
    </row>
    <row r="75" spans="2:25" ht="17.25" x14ac:dyDescent="0.25">
      <c r="B75" s="3">
        <v>1</v>
      </c>
      <c r="C75" s="19">
        <f>C76</f>
        <v>0.83</v>
      </c>
      <c r="D75" s="3" t="s">
        <v>50</v>
      </c>
      <c r="E75" s="33">
        <f>E76*0.25</f>
        <v>11600</v>
      </c>
      <c r="F75" s="19">
        <f>O62</f>
        <v>0.83057521562658432</v>
      </c>
      <c r="G75" s="3" t="s">
        <v>50</v>
      </c>
      <c r="I75" s="34">
        <v>7</v>
      </c>
      <c r="J75" s="38" t="s">
        <v>127</v>
      </c>
      <c r="K75" s="19">
        <f t="shared" si="8"/>
        <v>0.83057521562658432</v>
      </c>
      <c r="L75" s="3" t="s">
        <v>50</v>
      </c>
      <c r="M75" s="33">
        <f t="shared" si="6"/>
        <v>11606.83292935001</v>
      </c>
      <c r="N75" s="3">
        <f t="shared" si="9"/>
        <v>1</v>
      </c>
      <c r="O75" s="33">
        <f t="shared" si="10"/>
        <v>11606.83292935001</v>
      </c>
      <c r="P75" s="35">
        <f t="shared" si="7"/>
        <v>2.4894955723461204E-2</v>
      </c>
      <c r="W75" s="219" t="s">
        <v>128</v>
      </c>
      <c r="X75" s="219"/>
      <c r="Y75" s="219"/>
    </row>
    <row r="76" spans="2:25" ht="17.25" x14ac:dyDescent="0.25">
      <c r="B76" s="3">
        <v>1</v>
      </c>
      <c r="C76" s="19">
        <f>E204</f>
        <v>0.83</v>
      </c>
      <c r="D76" s="3" t="s">
        <v>50</v>
      </c>
      <c r="E76" s="33">
        <f>J204</f>
        <v>46400</v>
      </c>
      <c r="F76" s="19">
        <f>O62</f>
        <v>0.83057521562658432</v>
      </c>
      <c r="G76" s="3" t="s">
        <v>50</v>
      </c>
      <c r="I76" s="34">
        <v>8</v>
      </c>
      <c r="J76" s="38" t="s">
        <v>129</v>
      </c>
      <c r="K76" s="19">
        <f t="shared" si="8"/>
        <v>0.83057521562658432</v>
      </c>
      <c r="L76" s="3" t="s">
        <v>50</v>
      </c>
      <c r="M76" s="33">
        <f t="shared" si="6"/>
        <v>46427.33171740004</v>
      </c>
      <c r="N76" s="3">
        <f t="shared" si="9"/>
        <v>1</v>
      </c>
      <c r="O76" s="33">
        <f t="shared" si="10"/>
        <v>46427.33171740004</v>
      </c>
      <c r="P76" s="35">
        <f t="shared" si="7"/>
        <v>9.9579822893844816E-2</v>
      </c>
      <c r="W76" s="36" t="s">
        <v>30</v>
      </c>
      <c r="X76" s="40">
        <f>X69</f>
        <v>4.8219505573876695</v>
      </c>
      <c r="Y76" s="3" t="s">
        <v>118</v>
      </c>
    </row>
    <row r="77" spans="2:25" ht="17.25" x14ac:dyDescent="0.25">
      <c r="B77" s="3">
        <v>1</v>
      </c>
      <c r="C77" s="19">
        <f>E208</f>
        <v>5.09</v>
      </c>
      <c r="D77" s="3" t="s">
        <v>50</v>
      </c>
      <c r="E77" s="33">
        <f>J208</f>
        <v>17200</v>
      </c>
      <c r="F77" s="19">
        <f>S59</f>
        <v>5.0657675192108957</v>
      </c>
      <c r="G77" s="3" t="s">
        <v>50</v>
      </c>
      <c r="I77" s="34">
        <v>9</v>
      </c>
      <c r="J77" s="38" t="s">
        <v>130</v>
      </c>
      <c r="K77" s="19">
        <f t="shared" si="8"/>
        <v>5.09</v>
      </c>
      <c r="L77" s="3" t="s">
        <v>50</v>
      </c>
      <c r="M77" s="33">
        <f t="shared" si="6"/>
        <v>17200</v>
      </c>
      <c r="N77" s="3">
        <f t="shared" si="9"/>
        <v>1</v>
      </c>
      <c r="O77" s="41">
        <f t="shared" si="10"/>
        <v>17200</v>
      </c>
      <c r="P77" s="35">
        <f t="shared" si="7"/>
        <v>3.6891479445764007E-2</v>
      </c>
      <c r="W77" s="36" t="s">
        <v>131</v>
      </c>
      <c r="X77" s="3">
        <v>2200.6999999999998</v>
      </c>
      <c r="Y77" s="3" t="s">
        <v>132</v>
      </c>
    </row>
    <row r="78" spans="2:25" ht="17.25" x14ac:dyDescent="0.25">
      <c r="B78" s="3">
        <v>1</v>
      </c>
      <c r="C78" s="19">
        <f>C194/1000</f>
        <v>1.5737214611872146</v>
      </c>
      <c r="D78" s="3" t="s">
        <v>114</v>
      </c>
      <c r="E78" s="33">
        <f>J194</f>
        <v>4780</v>
      </c>
      <c r="F78" s="19">
        <f>D20/24</f>
        <v>1.5737214611872126</v>
      </c>
      <c r="G78" s="3" t="s">
        <v>114</v>
      </c>
      <c r="I78" s="34">
        <v>10</v>
      </c>
      <c r="J78" s="38" t="s">
        <v>133</v>
      </c>
      <c r="K78" s="19">
        <f t="shared" si="8"/>
        <v>1.5737214611872146</v>
      </c>
      <c r="L78" s="3" t="s">
        <v>114</v>
      </c>
      <c r="M78" s="33">
        <f t="shared" si="6"/>
        <v>4780</v>
      </c>
      <c r="N78" s="3">
        <f t="shared" si="9"/>
        <v>1</v>
      </c>
      <c r="O78" s="41">
        <f t="shared" si="10"/>
        <v>4780</v>
      </c>
      <c r="P78" s="35">
        <f t="shared" si="7"/>
        <v>1.0252399520392556E-2</v>
      </c>
      <c r="W78" s="220" t="s">
        <v>134</v>
      </c>
      <c r="X78" s="19">
        <f>X76/X77</f>
        <v>2.1910985401861543E-3</v>
      </c>
      <c r="Y78" s="3" t="s">
        <v>135</v>
      </c>
    </row>
    <row r="79" spans="2:25" ht="17.25" x14ac:dyDescent="0.25">
      <c r="B79" s="3">
        <v>1</v>
      </c>
      <c r="C79" s="19">
        <f t="shared" ref="C79:C84" si="11">C195/1000</f>
        <v>9.245613584474885</v>
      </c>
      <c r="D79" s="3" t="s">
        <v>114</v>
      </c>
      <c r="E79" s="33">
        <f t="shared" ref="E79:E84" si="12">J195</f>
        <v>5230</v>
      </c>
      <c r="F79" s="19">
        <f>E20/24</f>
        <v>9.2456135844748726</v>
      </c>
      <c r="G79" s="3" t="s">
        <v>114</v>
      </c>
      <c r="I79" s="34">
        <v>11</v>
      </c>
      <c r="J79" s="34" t="s">
        <v>136</v>
      </c>
      <c r="K79" s="19">
        <f t="shared" si="8"/>
        <v>9.245613584474885</v>
      </c>
      <c r="L79" s="3" t="s">
        <v>114</v>
      </c>
      <c r="M79" s="33">
        <f t="shared" si="6"/>
        <v>5230</v>
      </c>
      <c r="N79" s="3">
        <f>+IF(B79=1,ROUNDUP(F79/K79,0),0)</f>
        <v>1</v>
      </c>
      <c r="O79" s="41">
        <f>M79*N79</f>
        <v>5230</v>
      </c>
      <c r="P79" s="35">
        <f t="shared" si="7"/>
        <v>1.1217583575659638E-2</v>
      </c>
      <c r="W79" s="220"/>
      <c r="X79" s="19">
        <f>X78*24*60*60</f>
        <v>189.31091387208374</v>
      </c>
      <c r="Y79" s="3" t="s">
        <v>137</v>
      </c>
    </row>
    <row r="80" spans="2:25" ht="17.25" x14ac:dyDescent="0.25">
      <c r="B80" s="3">
        <v>1</v>
      </c>
      <c r="C80" s="19">
        <f t="shared" si="11"/>
        <v>4.9178795662100443</v>
      </c>
      <c r="D80" s="3" t="s">
        <v>114</v>
      </c>
      <c r="E80" s="33">
        <f t="shared" si="12"/>
        <v>5000</v>
      </c>
      <c r="F80" s="19">
        <f>F20/24</f>
        <v>4.917879566210039</v>
      </c>
      <c r="G80" s="3" t="s">
        <v>114</v>
      </c>
      <c r="I80" s="34">
        <v>12</v>
      </c>
      <c r="J80" s="34" t="s">
        <v>138</v>
      </c>
      <c r="K80" s="19">
        <f t="shared" si="8"/>
        <v>4.9178795662100443</v>
      </c>
      <c r="L80" s="3" t="s">
        <v>114</v>
      </c>
      <c r="M80" s="33">
        <f t="shared" si="6"/>
        <v>5000</v>
      </c>
      <c r="N80" s="3">
        <f t="shared" si="9"/>
        <v>1</v>
      </c>
      <c r="O80" s="41">
        <f t="shared" si="10"/>
        <v>5000</v>
      </c>
      <c r="P80" s="35">
        <f t="shared" si="7"/>
        <v>1.0724267280745351E-2</v>
      </c>
      <c r="W80" s="36" t="s">
        <v>139</v>
      </c>
      <c r="X80" s="3">
        <v>120</v>
      </c>
      <c r="Y80" s="3" t="s">
        <v>117</v>
      </c>
    </row>
    <row r="81" spans="2:16" ht="17.25" x14ac:dyDescent="0.25">
      <c r="B81" s="3">
        <v>1</v>
      </c>
      <c r="C81" s="19">
        <f t="shared" si="11"/>
        <v>9.8357591324200886</v>
      </c>
      <c r="D81" s="3" t="s">
        <v>114</v>
      </c>
      <c r="E81" s="33">
        <f t="shared" si="12"/>
        <v>5340</v>
      </c>
      <c r="F81" s="19">
        <f>I20/24</f>
        <v>9.8357591324200779</v>
      </c>
      <c r="G81" s="3" t="s">
        <v>114</v>
      </c>
      <c r="I81" s="34">
        <v>13</v>
      </c>
      <c r="J81" s="34" t="s">
        <v>140</v>
      </c>
      <c r="K81" s="19">
        <f t="shared" si="8"/>
        <v>9.8357591324200886</v>
      </c>
      <c r="L81" s="3" t="s">
        <v>114</v>
      </c>
      <c r="M81" s="33">
        <f t="shared" si="6"/>
        <v>5340</v>
      </c>
      <c r="N81" s="3">
        <f t="shared" si="9"/>
        <v>1</v>
      </c>
      <c r="O81" s="41">
        <f t="shared" si="10"/>
        <v>5340</v>
      </c>
      <c r="P81" s="35">
        <f t="shared" si="7"/>
        <v>1.1453517455836035E-2</v>
      </c>
    </row>
    <row r="82" spans="2:16" ht="17.25" x14ac:dyDescent="0.25">
      <c r="B82" s="3">
        <v>1</v>
      </c>
      <c r="C82" s="19">
        <f t="shared" si="11"/>
        <v>0.2076438039066463</v>
      </c>
      <c r="D82" s="3" t="s">
        <v>114</v>
      </c>
      <c r="E82" s="33">
        <f t="shared" si="12"/>
        <v>4560</v>
      </c>
      <c r="F82" s="19">
        <f>L20/24</f>
        <v>0.20764380390664608</v>
      </c>
      <c r="G82" s="3" t="s">
        <v>114</v>
      </c>
      <c r="I82" s="34">
        <v>14</v>
      </c>
      <c r="J82" s="34" t="s">
        <v>141</v>
      </c>
      <c r="K82" s="19">
        <f t="shared" si="8"/>
        <v>0.2076438039066463</v>
      </c>
      <c r="L82" s="3" t="s">
        <v>114</v>
      </c>
      <c r="M82" s="33">
        <f t="shared" si="6"/>
        <v>4560</v>
      </c>
      <c r="N82" s="3">
        <f t="shared" si="9"/>
        <v>1</v>
      </c>
      <c r="O82" s="41">
        <f t="shared" si="10"/>
        <v>4560</v>
      </c>
      <c r="P82" s="35">
        <f t="shared" si="7"/>
        <v>9.7805317600397606E-3</v>
      </c>
    </row>
    <row r="83" spans="2:16" ht="17.25" x14ac:dyDescent="0.25">
      <c r="B83" s="3">
        <v>1</v>
      </c>
      <c r="C83" s="19">
        <f t="shared" si="11"/>
        <v>0.2076438039066463</v>
      </c>
      <c r="D83" s="3" t="s">
        <v>114</v>
      </c>
      <c r="E83" s="33">
        <f t="shared" si="12"/>
        <v>4560</v>
      </c>
      <c r="F83" s="19">
        <f>M20/24</f>
        <v>0.20764380390664608</v>
      </c>
      <c r="G83" s="3" t="s">
        <v>114</v>
      </c>
      <c r="I83" s="34">
        <v>15</v>
      </c>
      <c r="J83" s="34" t="s">
        <v>142</v>
      </c>
      <c r="K83" s="19">
        <f t="shared" si="8"/>
        <v>0.2076438039066463</v>
      </c>
      <c r="L83" s="3" t="s">
        <v>114</v>
      </c>
      <c r="M83" s="33">
        <f t="shared" si="6"/>
        <v>4560</v>
      </c>
      <c r="N83" s="3">
        <f t="shared" si="9"/>
        <v>1</v>
      </c>
      <c r="O83" s="41">
        <f t="shared" si="10"/>
        <v>4560</v>
      </c>
      <c r="P83" s="35">
        <f t="shared" si="7"/>
        <v>9.7805317600397606E-3</v>
      </c>
    </row>
    <row r="84" spans="2:16" ht="18" thickBot="1" x14ac:dyDescent="0.3">
      <c r="B84" s="3">
        <v>1</v>
      </c>
      <c r="C84" s="19">
        <f t="shared" si="11"/>
        <v>0.21188263946060631</v>
      </c>
      <c r="D84" s="3" t="s">
        <v>114</v>
      </c>
      <c r="E84" s="33">
        <f t="shared" si="12"/>
        <v>4560</v>
      </c>
      <c r="F84" s="19">
        <f>N20/24</f>
        <v>0.21107364663378733</v>
      </c>
      <c r="G84" s="3" t="s">
        <v>114</v>
      </c>
      <c r="I84" s="34">
        <v>16</v>
      </c>
      <c r="J84" s="34" t="s">
        <v>143</v>
      </c>
      <c r="K84" s="19">
        <f t="shared" si="8"/>
        <v>0.21188263946060631</v>
      </c>
      <c r="L84" s="3" t="s">
        <v>114</v>
      </c>
      <c r="M84" s="33">
        <f t="shared" si="6"/>
        <v>4560</v>
      </c>
      <c r="N84" s="3">
        <f t="shared" si="9"/>
        <v>1</v>
      </c>
      <c r="O84" s="41">
        <f t="shared" si="10"/>
        <v>4560</v>
      </c>
      <c r="P84" s="35">
        <f t="shared" si="7"/>
        <v>9.7805317600397606E-3</v>
      </c>
    </row>
    <row r="85" spans="2:16" ht="15.75" thickBot="1" x14ac:dyDescent="0.3">
      <c r="O85" s="42">
        <f>SUM(O69:O84)</f>
        <v>466232.31863841548</v>
      </c>
      <c r="P85" s="43">
        <f>SUM(P69:P84)</f>
        <v>1</v>
      </c>
    </row>
    <row r="86" spans="2:16" x14ac:dyDescent="0.25">
      <c r="B86" s="209" t="s">
        <v>144</v>
      </c>
      <c r="C86" s="209"/>
      <c r="D86" s="34">
        <v>0.85</v>
      </c>
      <c r="E86" s="34"/>
    </row>
    <row r="87" spans="2:16" x14ac:dyDescent="0.25">
      <c r="B87" s="221" t="s">
        <v>145</v>
      </c>
      <c r="C87" s="221"/>
      <c r="D87" s="221"/>
      <c r="E87" s="34">
        <f>0.73+2.07+2.11+1.91+2.29+1.36</f>
        <v>10.469999999999999</v>
      </c>
      <c r="I87" s="202" t="s">
        <v>146</v>
      </c>
      <c r="J87" s="202"/>
      <c r="K87" s="202"/>
      <c r="L87" s="202"/>
      <c r="M87" s="202"/>
    </row>
    <row r="88" spans="2:16" x14ac:dyDescent="0.25">
      <c r="I88" s="32" t="s">
        <v>109</v>
      </c>
      <c r="J88" s="32" t="s">
        <v>110</v>
      </c>
      <c r="K88" s="32" t="s">
        <v>147</v>
      </c>
      <c r="L88" s="32" t="s">
        <v>148</v>
      </c>
      <c r="M88" s="32" t="s">
        <v>29</v>
      </c>
    </row>
    <row r="89" spans="2:16" x14ac:dyDescent="0.25">
      <c r="B89" s="209" t="s">
        <v>150</v>
      </c>
      <c r="C89" s="209"/>
      <c r="D89" s="209"/>
      <c r="F89" s="45" t="s">
        <v>151</v>
      </c>
      <c r="G89" s="45" t="s">
        <v>152</v>
      </c>
      <c r="I89" s="34">
        <v>1</v>
      </c>
      <c r="J89" s="34" t="s">
        <v>149</v>
      </c>
      <c r="K89" s="34">
        <v>1</v>
      </c>
      <c r="L89" s="44">
        <f>O85</f>
        <v>466232.31863841548</v>
      </c>
      <c r="M89" s="35">
        <f>(L89/$L$102)</f>
        <v>0.24390243902439024</v>
      </c>
    </row>
    <row r="90" spans="2:16" ht="17.25" x14ac:dyDescent="0.25">
      <c r="B90" s="46" t="s">
        <v>76</v>
      </c>
      <c r="C90" s="11">
        <f>'[1]Escenario 1'!C91</f>
        <v>50</v>
      </c>
      <c r="D90" s="3" t="s">
        <v>93</v>
      </c>
      <c r="F90" s="3">
        <v>24</v>
      </c>
      <c r="G90" s="3">
        <v>365</v>
      </c>
      <c r="I90" s="34">
        <v>2</v>
      </c>
      <c r="J90" s="34" t="s">
        <v>153</v>
      </c>
      <c r="K90" s="156">
        <f>'[1]Escenario 1'!K90</f>
        <v>0.38</v>
      </c>
      <c r="L90" s="44">
        <f>K90*$L$89</f>
        <v>177168.28108259788</v>
      </c>
      <c r="M90" s="35">
        <f t="shared" ref="M90:M101" si="13">(L90/$L$102)</f>
        <v>9.2682926829268292E-2</v>
      </c>
    </row>
    <row r="91" spans="2:16" ht="17.25" x14ac:dyDescent="0.25">
      <c r="B91" s="46" t="s">
        <v>37</v>
      </c>
      <c r="C91" s="11">
        <f>'[1]Escenario 1'!C92</f>
        <v>0.05</v>
      </c>
      <c r="D91" s="3" t="s">
        <v>93</v>
      </c>
      <c r="I91" s="34">
        <v>3</v>
      </c>
      <c r="J91" s="34" t="s">
        <v>154</v>
      </c>
      <c r="K91" s="156">
        <f>'[1]Escenario 1'!K91</f>
        <v>0.12</v>
      </c>
      <c r="L91" s="44">
        <f>K91*$L$89</f>
        <v>55947.878236609853</v>
      </c>
      <c r="M91" s="35">
        <f t="shared" si="13"/>
        <v>2.9268292682926824E-2</v>
      </c>
    </row>
    <row r="92" spans="2:16" ht="18" x14ac:dyDescent="0.35">
      <c r="B92" s="47" t="s">
        <v>156</v>
      </c>
      <c r="C92" s="11">
        <f>'[1]Escenario 1'!C93</f>
        <v>0.1</v>
      </c>
      <c r="D92" s="3" t="s">
        <v>92</v>
      </c>
      <c r="I92" s="34">
        <v>4</v>
      </c>
      <c r="J92" s="34" t="s">
        <v>155</v>
      </c>
      <c r="K92" s="156">
        <f>'[1]Escenario 1'!K92</f>
        <v>0.31</v>
      </c>
      <c r="L92" s="44">
        <f>K92*$L$89</f>
        <v>144532.01877790879</v>
      </c>
      <c r="M92" s="35">
        <f t="shared" si="13"/>
        <v>7.5609756097560959E-2</v>
      </c>
    </row>
    <row r="93" spans="2:16" x14ac:dyDescent="0.25">
      <c r="B93" s="46" t="s">
        <v>158</v>
      </c>
      <c r="C93" s="11">
        <f>'[1]Escenario 1'!C94</f>
        <v>0.3</v>
      </c>
      <c r="D93" s="3" t="s">
        <v>92</v>
      </c>
      <c r="I93" s="34">
        <v>5</v>
      </c>
      <c r="J93" s="34" t="s">
        <v>157</v>
      </c>
      <c r="K93" s="156">
        <f>'[1]Escenario 1'!K93</f>
        <v>0.1</v>
      </c>
      <c r="L93" s="44">
        <f t="shared" ref="L93:L101" si="14">K93*$L$89</f>
        <v>46623.231863841553</v>
      </c>
      <c r="M93" s="35">
        <f t="shared" si="13"/>
        <v>2.4390243902439025E-2</v>
      </c>
    </row>
    <row r="94" spans="2:16" x14ac:dyDescent="0.25">
      <c r="B94" s="46" t="s">
        <v>89</v>
      </c>
      <c r="C94" s="11">
        <f>'[1]Escenario 1'!C95</f>
        <v>0.25</v>
      </c>
      <c r="D94" s="3" t="s">
        <v>160</v>
      </c>
      <c r="I94" s="34">
        <v>6</v>
      </c>
      <c r="J94" s="34" t="s">
        <v>159</v>
      </c>
      <c r="K94" s="156">
        <f>'[1]Escenario 1'!K94</f>
        <v>0.28999999999999998</v>
      </c>
      <c r="L94" s="44">
        <f t="shared" si="14"/>
        <v>135207.37240514049</v>
      </c>
      <c r="M94" s="35">
        <f t="shared" si="13"/>
        <v>7.0731707317073164E-2</v>
      </c>
    </row>
    <row r="95" spans="2:16" x14ac:dyDescent="0.25">
      <c r="B95" s="46" t="s">
        <v>162</v>
      </c>
      <c r="C95" s="11">
        <f>'[1]Escenario 1'!C96</f>
        <v>10</v>
      </c>
      <c r="D95" s="3" t="s">
        <v>92</v>
      </c>
      <c r="I95" s="34">
        <v>7</v>
      </c>
      <c r="J95" s="34" t="s">
        <v>161</v>
      </c>
      <c r="K95" s="156">
        <f>'[1]Escenario 1'!K95</f>
        <v>0.1</v>
      </c>
      <c r="L95" s="44">
        <f t="shared" si="14"/>
        <v>46623.231863841553</v>
      </c>
      <c r="M95" s="35">
        <f t="shared" si="13"/>
        <v>2.4390243902439025E-2</v>
      </c>
    </row>
    <row r="96" spans="2:16" ht="17.25" x14ac:dyDescent="0.25">
      <c r="B96" s="46" t="s">
        <v>164</v>
      </c>
      <c r="C96" s="11">
        <f>'[1]Escenario 1'!C97</f>
        <v>0.05</v>
      </c>
      <c r="D96" s="3" t="s">
        <v>93</v>
      </c>
      <c r="I96" s="34">
        <v>8</v>
      </c>
      <c r="J96" s="34" t="s">
        <v>163</v>
      </c>
      <c r="K96" s="156">
        <f>'[1]Escenario 1'!K96</f>
        <v>0.54</v>
      </c>
      <c r="L96" s="44">
        <f t="shared" si="14"/>
        <v>251765.45206474437</v>
      </c>
      <c r="M96" s="35">
        <f t="shared" si="13"/>
        <v>0.13170731707317074</v>
      </c>
    </row>
    <row r="97" spans="2:13" x14ac:dyDescent="0.25">
      <c r="B97" s="157" t="s">
        <v>99</v>
      </c>
      <c r="C97" s="11">
        <f>'[1]Escenario 1'!C98</f>
        <v>0.5</v>
      </c>
      <c r="D97" s="3" t="s">
        <v>92</v>
      </c>
      <c r="I97" s="34">
        <v>9</v>
      </c>
      <c r="J97" s="34" t="s">
        <v>165</v>
      </c>
      <c r="K97" s="156">
        <f>'[1]Escenario 1'!K97</f>
        <v>0.06</v>
      </c>
      <c r="L97" s="44">
        <f t="shared" si="14"/>
        <v>27973.939118304927</v>
      </c>
      <c r="M97" s="35">
        <f t="shared" si="13"/>
        <v>1.4634146341463412E-2</v>
      </c>
    </row>
    <row r="98" spans="2:13" x14ac:dyDescent="0.25">
      <c r="B98" s="157" t="s">
        <v>522</v>
      </c>
      <c r="C98" s="3">
        <v>0.14000000000000001</v>
      </c>
      <c r="D98" s="3" t="s">
        <v>92</v>
      </c>
      <c r="I98" s="34">
        <v>10</v>
      </c>
      <c r="J98" s="34" t="s">
        <v>166</v>
      </c>
      <c r="K98" s="156">
        <f>'[1]Escenario 1'!K98</f>
        <v>0.32</v>
      </c>
      <c r="L98" s="44">
        <f t="shared" si="14"/>
        <v>149194.34196429295</v>
      </c>
      <c r="M98" s="35">
        <f t="shared" si="13"/>
        <v>7.8048780487804878E-2</v>
      </c>
    </row>
    <row r="99" spans="2:13" x14ac:dyDescent="0.25">
      <c r="B99" s="209" t="s">
        <v>169</v>
      </c>
      <c r="C99" s="209"/>
      <c r="D99" s="209"/>
      <c r="E99" s="48"/>
      <c r="I99" s="34">
        <v>11</v>
      </c>
      <c r="J99" s="34" t="s">
        <v>168</v>
      </c>
      <c r="K99" s="156">
        <f>'[1]Escenario 1'!K99</f>
        <v>0.34</v>
      </c>
      <c r="L99" s="44">
        <f t="shared" si="14"/>
        <v>158518.98833706128</v>
      </c>
      <c r="M99" s="35">
        <f t="shared" si="13"/>
        <v>8.2926829268292687E-2</v>
      </c>
    </row>
    <row r="100" spans="2:13" ht="17.25" x14ac:dyDescent="0.25">
      <c r="B100" s="49" t="s">
        <v>171</v>
      </c>
      <c r="C100" s="3">
        <v>19</v>
      </c>
      <c r="D100" s="3" t="s">
        <v>172</v>
      </c>
      <c r="E100" s="48"/>
      <c r="I100" s="34">
        <v>12</v>
      </c>
      <c r="J100" s="34" t="s">
        <v>170</v>
      </c>
      <c r="K100" s="156">
        <f>'[1]Escenario 1'!K100</f>
        <v>0.18</v>
      </c>
      <c r="L100" s="44">
        <f t="shared" si="14"/>
        <v>83921.81735491479</v>
      </c>
      <c r="M100" s="35">
        <f t="shared" si="13"/>
        <v>4.3902439024390241E-2</v>
      </c>
    </row>
    <row r="101" spans="2:13" ht="15.75" thickBot="1" x14ac:dyDescent="0.3">
      <c r="B101" s="203" t="s">
        <v>174</v>
      </c>
      <c r="C101" s="19">
        <f>(C100*C124)/1000</f>
        <v>21.528509589041068</v>
      </c>
      <c r="D101" s="3" t="s">
        <v>118</v>
      </c>
      <c r="I101" s="34">
        <v>13</v>
      </c>
      <c r="J101" s="34" t="s">
        <v>173</v>
      </c>
      <c r="K101" s="156">
        <f>'[1]Escenario 1'!K101</f>
        <v>0.36</v>
      </c>
      <c r="L101" s="50">
        <f t="shared" si="14"/>
        <v>167843.63470982958</v>
      </c>
      <c r="M101" s="51">
        <f t="shared" si="13"/>
        <v>8.7804878048780483E-2</v>
      </c>
    </row>
    <row r="102" spans="2:13" ht="15.75" thickBot="1" x14ac:dyDescent="0.3">
      <c r="B102" s="210"/>
      <c r="C102" s="19">
        <f>(C101*F90)</f>
        <v>516.68423013698566</v>
      </c>
      <c r="D102" s="3" t="s">
        <v>175</v>
      </c>
      <c r="E102" s="26"/>
      <c r="L102" s="42">
        <f>SUM(L89:L101)</f>
        <v>1911552.5064175036</v>
      </c>
      <c r="M102" s="52">
        <f>SUM(M89:M101)</f>
        <v>0.99999999999999989</v>
      </c>
    </row>
    <row r="103" spans="2:13" ht="17.25" x14ac:dyDescent="0.25">
      <c r="B103" s="49" t="s">
        <v>176</v>
      </c>
      <c r="C103" s="3">
        <v>1</v>
      </c>
      <c r="D103" s="3" t="s">
        <v>177</v>
      </c>
    </row>
    <row r="104" spans="2:13" x14ac:dyDescent="0.25">
      <c r="B104" s="203" t="s">
        <v>179</v>
      </c>
      <c r="C104" s="19">
        <f>C103*O62</f>
        <v>0.83057521562658432</v>
      </c>
      <c r="D104" s="3" t="s">
        <v>180</v>
      </c>
      <c r="I104" s="202" t="s">
        <v>178</v>
      </c>
      <c r="J104" s="202"/>
      <c r="K104" s="202"/>
      <c r="L104" s="202"/>
      <c r="M104" s="202"/>
    </row>
    <row r="105" spans="2:13" x14ac:dyDescent="0.25">
      <c r="B105" s="210"/>
      <c r="C105" s="19">
        <f>C104*F90</f>
        <v>19.933805175038025</v>
      </c>
      <c r="D105" s="3" t="s">
        <v>175</v>
      </c>
      <c r="I105" s="53" t="s">
        <v>109</v>
      </c>
      <c r="J105" s="53" t="s">
        <v>110</v>
      </c>
      <c r="K105" s="53" t="s">
        <v>147</v>
      </c>
      <c r="L105" s="53" t="s">
        <v>148</v>
      </c>
      <c r="M105" s="54" t="s">
        <v>29</v>
      </c>
    </row>
    <row r="106" spans="2:13" ht="15.75" thickBot="1" x14ac:dyDescent="0.3">
      <c r="B106" s="158" t="s">
        <v>182</v>
      </c>
      <c r="C106" s="55">
        <f>C105+C102</f>
        <v>536.61803531202372</v>
      </c>
      <c r="D106" s="56" t="s">
        <v>175</v>
      </c>
      <c r="I106" s="34">
        <v>1</v>
      </c>
      <c r="J106" s="34" t="s">
        <v>181</v>
      </c>
      <c r="K106" s="34">
        <v>10</v>
      </c>
      <c r="L106" s="34"/>
      <c r="M106" s="34"/>
    </row>
    <row r="107" spans="2:13" ht="17.25" x14ac:dyDescent="0.25">
      <c r="B107" s="57" t="s">
        <v>184</v>
      </c>
      <c r="C107" s="59" t="s">
        <v>39</v>
      </c>
      <c r="D107" s="59" t="s">
        <v>172</v>
      </c>
      <c r="I107" s="34">
        <v>2</v>
      </c>
      <c r="J107" s="34" t="s">
        <v>183</v>
      </c>
      <c r="K107" s="34"/>
      <c r="L107" s="44">
        <f>(L102-L95)/K106</f>
        <v>186492.92745536618</v>
      </c>
      <c r="M107" s="35">
        <f>(L107/$L$111)</f>
        <v>0.82484431063636732</v>
      </c>
    </row>
    <row r="108" spans="2:13" x14ac:dyDescent="0.25">
      <c r="B108" s="203" t="s">
        <v>186</v>
      </c>
      <c r="C108" s="15" t="s">
        <v>39</v>
      </c>
      <c r="D108" s="3" t="s">
        <v>118</v>
      </c>
      <c r="I108" s="34">
        <v>3</v>
      </c>
      <c r="J108" s="34" t="s">
        <v>185</v>
      </c>
      <c r="K108" s="34">
        <v>0.01</v>
      </c>
      <c r="L108" s="44">
        <f>K108*$L$107</f>
        <v>1864.9292745536618</v>
      </c>
      <c r="M108" s="35">
        <f>(L108/$L$111)</f>
        <v>8.2484431063636742E-3</v>
      </c>
    </row>
    <row r="109" spans="2:13" x14ac:dyDescent="0.25">
      <c r="B109" s="204"/>
      <c r="C109" s="19">
        <f>(C110/3600)*8</f>
        <v>49.834512937595065</v>
      </c>
      <c r="D109" s="3" t="s">
        <v>175</v>
      </c>
      <c r="I109" s="34">
        <v>4</v>
      </c>
      <c r="J109" s="34" t="s">
        <v>187</v>
      </c>
      <c r="K109" s="34">
        <v>6.0000000000000001E-3</v>
      </c>
      <c r="L109" s="44">
        <f>K109*$L$107</f>
        <v>1118.9575647321972</v>
      </c>
      <c r="M109" s="35">
        <f>(L109/$L$111)</f>
        <v>4.9490658638182044E-3</v>
      </c>
    </row>
    <row r="110" spans="2:13" ht="15.75" thickBot="1" x14ac:dyDescent="0.3">
      <c r="B110" s="205"/>
      <c r="C110" s="55">
        <f>K60</f>
        <v>22425.530821917779</v>
      </c>
      <c r="D110" s="56" t="s">
        <v>189</v>
      </c>
      <c r="I110" s="34">
        <v>5</v>
      </c>
      <c r="J110" s="34" t="s">
        <v>188</v>
      </c>
      <c r="K110" s="34">
        <v>0.21</v>
      </c>
      <c r="L110" s="50">
        <f>K110*SUM(L89:L100)/K106</f>
        <v>36617.886305861161</v>
      </c>
      <c r="M110" s="51">
        <f>(L110/$L$111)</f>
        <v>0.16195818039345078</v>
      </c>
    </row>
    <row r="111" spans="2:13" ht="18" customHeight="1" thickBot="1" x14ac:dyDescent="0.3">
      <c r="B111" s="57" t="s">
        <v>190</v>
      </c>
      <c r="C111" s="58">
        <f>X69</f>
        <v>4.8219505573876695</v>
      </c>
      <c r="D111" s="59" t="s">
        <v>118</v>
      </c>
      <c r="E111" s="48" t="s">
        <v>191</v>
      </c>
      <c r="L111" s="42">
        <f>SUM(L107:L110)</f>
        <v>226094.7006005132</v>
      </c>
      <c r="M111" s="52">
        <f>SUM(M107:M110)</f>
        <v>0.99999999999999989</v>
      </c>
    </row>
    <row r="112" spans="2:13" x14ac:dyDescent="0.25">
      <c r="B112" s="213" t="s">
        <v>192</v>
      </c>
      <c r="C112" s="15">
        <f>X79</f>
        <v>189.31091387208374</v>
      </c>
      <c r="D112" s="11" t="s">
        <v>34</v>
      </c>
      <c r="E112" s="48"/>
    </row>
    <row r="113" spans="2:31" x14ac:dyDescent="0.25">
      <c r="B113" s="214"/>
      <c r="C113" s="15">
        <f>C112/24</f>
        <v>7.8879547446701563</v>
      </c>
      <c r="D113" s="11" t="s">
        <v>121</v>
      </c>
      <c r="I113" s="197" t="s">
        <v>193</v>
      </c>
      <c r="J113" s="197"/>
      <c r="K113" s="197"/>
      <c r="L113" s="197"/>
      <c r="M113" s="197"/>
      <c r="N113" s="197"/>
      <c r="Q113" s="216" t="s">
        <v>194</v>
      </c>
      <c r="R113" s="217"/>
      <c r="S113" s="218"/>
      <c r="U113" s="219" t="s">
        <v>195</v>
      </c>
      <c r="V113" s="219"/>
      <c r="W113" s="219"/>
      <c r="Z113" s="212" t="s">
        <v>196</v>
      </c>
      <c r="AA113" s="212"/>
      <c r="AB113" s="212" t="s">
        <v>197</v>
      </c>
      <c r="AC113" s="212"/>
      <c r="AD113" s="212" t="s">
        <v>198</v>
      </c>
      <c r="AE113" s="212"/>
    </row>
    <row r="114" spans="2:31" ht="17.25" customHeight="1" x14ac:dyDescent="0.25">
      <c r="B114" s="64" t="s">
        <v>206</v>
      </c>
      <c r="C114" s="19" t="str">
        <f>C108</f>
        <v>-</v>
      </c>
      <c r="D114" s="11" t="s">
        <v>118</v>
      </c>
      <c r="I114" s="32" t="s">
        <v>109</v>
      </c>
      <c r="J114" s="32" t="s">
        <v>199</v>
      </c>
      <c r="K114" s="32" t="s">
        <v>200</v>
      </c>
      <c r="L114" s="32" t="s">
        <v>201</v>
      </c>
      <c r="M114" s="32" t="s">
        <v>148</v>
      </c>
      <c r="N114" s="32" t="s">
        <v>29</v>
      </c>
      <c r="Q114" s="60" t="s">
        <v>196</v>
      </c>
      <c r="R114" s="61">
        <f>M121</f>
        <v>77661.939894878364</v>
      </c>
      <c r="S114" s="62">
        <f>(R114/$R$117)</f>
        <v>0.2039901245584354</v>
      </c>
      <c r="U114" s="36" t="s">
        <v>202</v>
      </c>
      <c r="V114" s="33">
        <f>C155</f>
        <v>1951154.2795626507</v>
      </c>
      <c r="W114" s="35">
        <f>V114/$V$116</f>
        <v>0.83673426915526494</v>
      </c>
      <c r="X114" s="48" t="s">
        <v>203</v>
      </c>
      <c r="Z114" s="2" t="s">
        <v>204</v>
      </c>
      <c r="AA114" s="63">
        <f>N115</f>
        <v>0.19969917080351948</v>
      </c>
      <c r="AB114" s="2" t="s">
        <v>205</v>
      </c>
      <c r="AC114" s="63">
        <f>N123+N124+N125</f>
        <v>0.88607571489798664</v>
      </c>
      <c r="AD114" s="2" t="s">
        <v>198</v>
      </c>
      <c r="AE114" s="63">
        <f>N130</f>
        <v>0.27505512680084071</v>
      </c>
    </row>
    <row r="115" spans="2:31" ht="17.25" x14ac:dyDescent="0.25">
      <c r="B115" s="213" t="s">
        <v>212</v>
      </c>
      <c r="C115" s="19">
        <f>(C111*0.86)/(30-20)</f>
        <v>0.41468774793533958</v>
      </c>
      <c r="D115" s="3" t="s">
        <v>114</v>
      </c>
      <c r="E115" s="48" t="s">
        <v>523</v>
      </c>
      <c r="I115" s="34">
        <v>1</v>
      </c>
      <c r="J115" s="34" t="s">
        <v>158</v>
      </c>
      <c r="K115" s="34">
        <f>I24*C128*G90</f>
        <v>51696.749999999927</v>
      </c>
      <c r="L115" s="34">
        <f>C93</f>
        <v>0.3</v>
      </c>
      <c r="M115" s="44">
        <f t="shared" ref="M115:M120" si="15">K115*L115</f>
        <v>15509.024999999978</v>
      </c>
      <c r="N115" s="35">
        <f t="shared" ref="N115:N120" si="16">(M115/$M$121)</f>
        <v>0.19969917080351948</v>
      </c>
      <c r="Q115" s="36" t="s">
        <v>197</v>
      </c>
      <c r="R115" s="33">
        <f>M128</f>
        <v>84914.183926641155</v>
      </c>
      <c r="S115" s="62">
        <f>(R115/$R$117)</f>
        <v>0.22303917439378498</v>
      </c>
      <c r="U115" s="36" t="s">
        <v>207</v>
      </c>
      <c r="V115" s="33">
        <f>C156</f>
        <v>380714.21380318428</v>
      </c>
      <c r="W115" s="35">
        <f>V115/$V$116</f>
        <v>0.16326573084473506</v>
      </c>
      <c r="X115" s="48" t="s">
        <v>208</v>
      </c>
      <c r="Z115" s="2" t="s">
        <v>209</v>
      </c>
      <c r="AA115" s="63">
        <f>N116</f>
        <v>5.2143672376474527E-2</v>
      </c>
      <c r="AB115" s="2" t="s">
        <v>210</v>
      </c>
      <c r="AC115" s="63">
        <f>N127</f>
        <v>0.11392428510201351</v>
      </c>
      <c r="AD115" s="2" t="s">
        <v>211</v>
      </c>
      <c r="AE115" s="63">
        <f t="shared" ref="AE115:AE122" si="17">N131</f>
        <v>5.5011025360168143E-2</v>
      </c>
    </row>
    <row r="116" spans="2:31" ht="18.75" x14ac:dyDescent="0.35">
      <c r="B116" s="214"/>
      <c r="C116" s="19">
        <f>C115*F90</f>
        <v>9.952505950448149</v>
      </c>
      <c r="D116" s="3" t="s">
        <v>31</v>
      </c>
      <c r="I116" s="34">
        <v>2</v>
      </c>
      <c r="J116" s="34" t="s">
        <v>37</v>
      </c>
      <c r="K116" s="65">
        <f>E20*G90</f>
        <v>80991.574999999881</v>
      </c>
      <c r="L116" s="34">
        <f>C91</f>
        <v>0.05</v>
      </c>
      <c r="M116" s="44">
        <f t="shared" si="15"/>
        <v>4049.5787499999942</v>
      </c>
      <c r="N116" s="35">
        <f>(M116/$M$121)</f>
        <v>5.2143672376474527E-2</v>
      </c>
      <c r="Q116" s="36" t="s">
        <v>198</v>
      </c>
      <c r="R116" s="33">
        <f>M139</f>
        <v>218138.08998166476</v>
      </c>
      <c r="S116" s="62">
        <f>(R116/$R$117)</f>
        <v>0.57297070104777958</v>
      </c>
      <c r="U116" s="36" t="s">
        <v>213</v>
      </c>
      <c r="V116" s="215">
        <f>SUM(V114:V115)</f>
        <v>2331868.4933658349</v>
      </c>
      <c r="W116" s="215"/>
      <c r="Z116" s="66" t="s">
        <v>156</v>
      </c>
      <c r="AA116" s="63">
        <f>N117</f>
        <v>0.33283195133919918</v>
      </c>
      <c r="AD116" s="2" t="s">
        <v>214</v>
      </c>
      <c r="AE116" s="63">
        <f t="shared" si="17"/>
        <v>8.2516538040252219E-2</v>
      </c>
    </row>
    <row r="117" spans="2:31" ht="18" x14ac:dyDescent="0.35">
      <c r="B117" s="213" t="s">
        <v>519</v>
      </c>
      <c r="C117" s="11">
        <v>1</v>
      </c>
      <c r="D117" s="11" t="s">
        <v>217</v>
      </c>
      <c r="I117" s="34">
        <v>3</v>
      </c>
      <c r="J117" s="67" t="s">
        <v>156</v>
      </c>
      <c r="K117" s="34">
        <f>I24*C126*G90</f>
        <v>258483.74999999965</v>
      </c>
      <c r="L117" s="34">
        <f>C92</f>
        <v>0.1</v>
      </c>
      <c r="M117" s="44">
        <f t="shared" si="15"/>
        <v>25848.374999999967</v>
      </c>
      <c r="N117" s="35">
        <f t="shared" si="16"/>
        <v>0.33283195133919918</v>
      </c>
      <c r="Q117" s="36" t="s">
        <v>213</v>
      </c>
      <c r="R117" s="215">
        <f>SUM(R114:R116)</f>
        <v>380714.21380318428</v>
      </c>
      <c r="S117" s="215"/>
      <c r="Z117" s="2" t="s">
        <v>215</v>
      </c>
      <c r="AA117" s="63">
        <f>N118</f>
        <v>0.42158713836298556</v>
      </c>
      <c r="AD117" s="2" t="s">
        <v>216</v>
      </c>
      <c r="AE117" s="63">
        <f t="shared" si="17"/>
        <v>8.5493059681159556E-2</v>
      </c>
    </row>
    <row r="118" spans="2:31" x14ac:dyDescent="0.25">
      <c r="B118" s="214"/>
      <c r="C118" s="15">
        <f>C117*I20</f>
        <v>236.05821917808186</v>
      </c>
      <c r="D118" s="11" t="s">
        <v>175</v>
      </c>
      <c r="I118" s="34">
        <v>4</v>
      </c>
      <c r="J118" s="34" t="s">
        <v>162</v>
      </c>
      <c r="K118" s="65">
        <f>O58*G90</f>
        <v>3274.1274999999955</v>
      </c>
      <c r="L118" s="34">
        <f>C95</f>
        <v>10</v>
      </c>
      <c r="M118" s="44">
        <f t="shared" si="15"/>
        <v>32741.274999999954</v>
      </c>
      <c r="N118" s="35">
        <f t="shared" si="16"/>
        <v>0.42158713836298556</v>
      </c>
      <c r="Z118" s="2" t="s">
        <v>218</v>
      </c>
      <c r="AA118" s="63">
        <f>N120</f>
        <v>0.19343723792134063</v>
      </c>
      <c r="AD118" s="2" t="s">
        <v>219</v>
      </c>
      <c r="AE118" s="63">
        <f t="shared" si="17"/>
        <v>1.4240876483590024E-3</v>
      </c>
    </row>
    <row r="119" spans="2:31" x14ac:dyDescent="0.25">
      <c r="I119" s="34">
        <v>5</v>
      </c>
      <c r="J119" s="34" t="s">
        <v>220</v>
      </c>
      <c r="K119" s="65">
        <v>0</v>
      </c>
      <c r="L119" s="34">
        <v>0</v>
      </c>
      <c r="M119" s="44">
        <f t="shared" si="15"/>
        <v>0</v>
      </c>
      <c r="N119" s="35">
        <f t="shared" si="16"/>
        <v>0</v>
      </c>
      <c r="AD119" s="2" t="s">
        <v>221</v>
      </c>
      <c r="AE119" s="63">
        <f t="shared" si="17"/>
        <v>0.22855756651319262</v>
      </c>
    </row>
    <row r="120" spans="2:31" ht="15.75" thickBot="1" x14ac:dyDescent="0.3">
      <c r="I120" s="34">
        <v>6</v>
      </c>
      <c r="J120" s="34" t="s">
        <v>99</v>
      </c>
      <c r="K120" s="65">
        <f>O63*G90</f>
        <v>30045.422289756883</v>
      </c>
      <c r="L120" s="68">
        <f>C97</f>
        <v>0.5</v>
      </c>
      <c r="M120" s="44">
        <f t="shared" si="15"/>
        <v>15022.711144878442</v>
      </c>
      <c r="N120" s="35">
        <f t="shared" si="16"/>
        <v>0.19343723792134063</v>
      </c>
      <c r="AD120" s="2" t="s">
        <v>222</v>
      </c>
      <c r="AE120" s="63">
        <f t="shared" si="17"/>
        <v>0.17476348817300921</v>
      </c>
    </row>
    <row r="121" spans="2:31" ht="15.75" thickBot="1" x14ac:dyDescent="0.3">
      <c r="B121" s="206" t="s">
        <v>223</v>
      </c>
      <c r="C121" s="207"/>
      <c r="D121" s="208"/>
      <c r="L121" s="69" t="s">
        <v>224</v>
      </c>
      <c r="M121" s="70">
        <f>SUM(M116:M120)</f>
        <v>77661.939894878364</v>
      </c>
      <c r="N121" s="52">
        <f>SUM(N116:N120)</f>
        <v>0.99999999999999989</v>
      </c>
      <c r="AD121" s="2" t="s">
        <v>225</v>
      </c>
      <c r="AE121" s="63">
        <f t="shared" si="17"/>
        <v>3.7264496960431027E-2</v>
      </c>
    </row>
    <row r="122" spans="2:31" x14ac:dyDescent="0.25">
      <c r="B122" s="2" t="s">
        <v>226</v>
      </c>
      <c r="C122" s="3">
        <v>24</v>
      </c>
      <c r="D122" s="3" t="s">
        <v>85</v>
      </c>
      <c r="I122" s="32" t="s">
        <v>109</v>
      </c>
      <c r="J122" s="32" t="s">
        <v>197</v>
      </c>
      <c r="K122" s="32" t="s">
        <v>200</v>
      </c>
      <c r="L122" s="71" t="s">
        <v>201</v>
      </c>
      <c r="M122" s="71" t="s">
        <v>148</v>
      </c>
      <c r="N122" s="71" t="s">
        <v>29</v>
      </c>
      <c r="O122" s="37">
        <f>M123+M124+M125</f>
        <v>75240.396227777674</v>
      </c>
      <c r="AD122" s="2" t="s">
        <v>227</v>
      </c>
      <c r="AE122" s="63">
        <f t="shared" si="17"/>
        <v>5.9914610822587602E-2</v>
      </c>
    </row>
    <row r="123" spans="2:31" x14ac:dyDescent="0.25">
      <c r="B123" s="2" t="s">
        <v>228</v>
      </c>
      <c r="C123" s="19">
        <f>1/R29</f>
        <v>0.33333333333333331</v>
      </c>
      <c r="D123" s="3" t="s">
        <v>229</v>
      </c>
      <c r="I123" s="34">
        <v>1</v>
      </c>
      <c r="J123" s="34" t="s">
        <v>524</v>
      </c>
      <c r="K123" s="65">
        <f>C106*G90</f>
        <v>195865.58288888866</v>
      </c>
      <c r="L123" s="34">
        <f>C94</f>
        <v>0.25</v>
      </c>
      <c r="M123" s="44">
        <f>K123*L123</f>
        <v>48966.395722222165</v>
      </c>
      <c r="N123" s="35">
        <f>(M123/M128)</f>
        <v>0.57665743763756938</v>
      </c>
    </row>
    <row r="124" spans="2:31" ht="17.25" x14ac:dyDescent="0.25">
      <c r="B124" s="2" t="s">
        <v>49</v>
      </c>
      <c r="C124" s="19">
        <f>C58</f>
        <v>1133.0794520547929</v>
      </c>
      <c r="D124" s="3" t="s">
        <v>50</v>
      </c>
      <c r="I124" s="34">
        <v>2</v>
      </c>
      <c r="J124" s="34" t="s">
        <v>525</v>
      </c>
      <c r="K124" s="65">
        <f>C109*G90</f>
        <v>18189.597222222197</v>
      </c>
      <c r="L124" s="34">
        <f>L123</f>
        <v>0.25</v>
      </c>
      <c r="M124" s="44">
        <f>K124*L124</f>
        <v>4547.3993055555493</v>
      </c>
      <c r="N124" s="35">
        <f>(M124/M128)</f>
        <v>5.355288239576237E-2</v>
      </c>
    </row>
    <row r="125" spans="2:31" x14ac:dyDescent="0.25">
      <c r="B125" s="2" t="s">
        <v>230</v>
      </c>
      <c r="C125" s="3">
        <v>0.01</v>
      </c>
      <c r="D125" s="3" t="s">
        <v>231</v>
      </c>
      <c r="I125" s="34">
        <v>3</v>
      </c>
      <c r="J125" s="34" t="s">
        <v>526</v>
      </c>
      <c r="K125" s="65">
        <f>(C140+C118)*G90</f>
        <v>86906.404799999873</v>
      </c>
      <c r="L125" s="34">
        <f>L123</f>
        <v>0.25</v>
      </c>
      <c r="M125" s="44">
        <f>K125*L125</f>
        <v>21726.601199999968</v>
      </c>
      <c r="N125" s="35">
        <f>(M125/M128)</f>
        <v>0.25586539486465487</v>
      </c>
      <c r="O125" s="72">
        <f>(C118)*G90*L125</f>
        <v>21540.312499999971</v>
      </c>
      <c r="P125" t="s">
        <v>28</v>
      </c>
    </row>
    <row r="126" spans="2:31" ht="18.75" x14ac:dyDescent="0.35">
      <c r="B126" s="66" t="s">
        <v>232</v>
      </c>
      <c r="C126" s="3">
        <v>1.5</v>
      </c>
      <c r="D126" s="3" t="s">
        <v>233</v>
      </c>
      <c r="I126" s="34">
        <v>4</v>
      </c>
      <c r="J126" s="34" t="s">
        <v>234</v>
      </c>
      <c r="K126" s="65">
        <f>C116*G90*0</f>
        <v>0</v>
      </c>
      <c r="L126" s="34">
        <f>C96</f>
        <v>0.05</v>
      </c>
      <c r="M126" s="44">
        <f>K126*L126</f>
        <v>0</v>
      </c>
      <c r="N126" s="35">
        <f>(M126/M128)</f>
        <v>0</v>
      </c>
      <c r="O126" s="72">
        <f>(C140)*G90*L125</f>
        <v>186.28869999999998</v>
      </c>
      <c r="P126" t="s">
        <v>235</v>
      </c>
    </row>
    <row r="127" spans="2:31" ht="15.75" thickBot="1" x14ac:dyDescent="0.3">
      <c r="B127" s="2" t="s">
        <v>59</v>
      </c>
      <c r="C127" s="19">
        <f>I24/V28</f>
        <v>0.41666666666666669</v>
      </c>
      <c r="D127" s="3" t="s">
        <v>236</v>
      </c>
      <c r="I127" s="34">
        <v>5</v>
      </c>
      <c r="J127" s="34" t="s">
        <v>167</v>
      </c>
      <c r="K127" s="65">
        <f>C112*G90</f>
        <v>69098.483563310569</v>
      </c>
      <c r="L127" s="68">
        <f>C98</f>
        <v>0.14000000000000001</v>
      </c>
      <c r="M127" s="50">
        <f>K127*L127</f>
        <v>9673.7876988634798</v>
      </c>
      <c r="N127" s="51">
        <f>(M127/M128)</f>
        <v>0.11392428510201351</v>
      </c>
    </row>
    <row r="128" spans="2:31" ht="15.75" thickBot="1" x14ac:dyDescent="0.3">
      <c r="B128" s="2" t="s">
        <v>158</v>
      </c>
      <c r="C128" s="3">
        <v>0.3</v>
      </c>
      <c r="D128" s="3" t="s">
        <v>233</v>
      </c>
      <c r="L128" s="69" t="s">
        <v>224</v>
      </c>
      <c r="M128" s="70">
        <f>SUM(M123:M127)</f>
        <v>84914.183926641155</v>
      </c>
      <c r="N128" s="52">
        <f>SUM(N123:N127)</f>
        <v>1.0000000000000002</v>
      </c>
    </row>
    <row r="129" spans="2:14" x14ac:dyDescent="0.25">
      <c r="B129" s="2" t="s">
        <v>237</v>
      </c>
      <c r="C129" s="3">
        <v>2</v>
      </c>
      <c r="D129" s="3" t="s">
        <v>29</v>
      </c>
      <c r="I129" s="32" t="s">
        <v>109</v>
      </c>
      <c r="J129" s="32" t="s">
        <v>238</v>
      </c>
      <c r="K129" s="32" t="s">
        <v>200</v>
      </c>
      <c r="L129" s="71" t="s">
        <v>201</v>
      </c>
      <c r="M129" s="71" t="s">
        <v>148</v>
      </c>
      <c r="N129" s="71" t="s">
        <v>29</v>
      </c>
    </row>
    <row r="130" spans="2:14" x14ac:dyDescent="0.25">
      <c r="I130" s="34">
        <v>1</v>
      </c>
      <c r="J130" s="34" t="s">
        <v>239</v>
      </c>
      <c r="K130" s="34">
        <v>2</v>
      </c>
      <c r="L130" s="44">
        <v>30000</v>
      </c>
      <c r="M130" s="33">
        <f t="shared" ref="M130:M138" si="18">K130*L130</f>
        <v>60000</v>
      </c>
      <c r="N130" s="35">
        <f>(M130/$M$139)</f>
        <v>0.27505512680084071</v>
      </c>
    </row>
    <row r="131" spans="2:14" x14ac:dyDescent="0.25">
      <c r="B131" s="206" t="s">
        <v>527</v>
      </c>
      <c r="C131" s="207"/>
      <c r="D131" s="208"/>
      <c r="I131" s="34">
        <v>2</v>
      </c>
      <c r="J131" s="34" t="s">
        <v>240</v>
      </c>
      <c r="K131" s="34">
        <v>0.2</v>
      </c>
      <c r="L131" s="44">
        <f>M130</f>
        <v>60000</v>
      </c>
      <c r="M131" s="33">
        <f t="shared" si="18"/>
        <v>12000</v>
      </c>
      <c r="N131" s="35">
        <f t="shared" ref="N131:N138" si="19">(M131/$M$139)</f>
        <v>5.5011025360168143E-2</v>
      </c>
    </row>
    <row r="132" spans="2:14" x14ac:dyDescent="0.25">
      <c r="B132" s="2" t="s">
        <v>241</v>
      </c>
      <c r="C132" s="19">
        <f>K194</f>
        <v>36.5</v>
      </c>
      <c r="D132" s="3" t="s">
        <v>81</v>
      </c>
      <c r="E132" s="48" t="s">
        <v>528</v>
      </c>
      <c r="I132" s="34">
        <v>3</v>
      </c>
      <c r="J132" s="34" t="s">
        <v>242</v>
      </c>
      <c r="K132" s="34">
        <v>0.25</v>
      </c>
      <c r="L132" s="44">
        <f>M130+M131</f>
        <v>72000</v>
      </c>
      <c r="M132" s="33">
        <f t="shared" si="18"/>
        <v>18000</v>
      </c>
      <c r="N132" s="35">
        <f t="shared" si="19"/>
        <v>8.2516538040252219E-2</v>
      </c>
    </row>
    <row r="133" spans="2:14" x14ac:dyDescent="0.25">
      <c r="B133" s="2" t="s">
        <v>243</v>
      </c>
      <c r="C133" s="19">
        <f t="shared" ref="C133:C138" si="20">K195</f>
        <v>36.5</v>
      </c>
      <c r="D133" s="3" t="s">
        <v>81</v>
      </c>
      <c r="E133" s="48" t="s">
        <v>529</v>
      </c>
      <c r="I133" s="34">
        <v>4</v>
      </c>
      <c r="J133" s="34" t="s">
        <v>244</v>
      </c>
      <c r="K133" s="34">
        <v>0.04</v>
      </c>
      <c r="L133" s="44">
        <f>O85</f>
        <v>466232.31863841548</v>
      </c>
      <c r="M133" s="33">
        <f t="shared" si="18"/>
        <v>18649.292745536619</v>
      </c>
      <c r="N133" s="35">
        <f t="shared" si="19"/>
        <v>8.5493059681159556E-2</v>
      </c>
    </row>
    <row r="134" spans="2:14" x14ac:dyDescent="0.25">
      <c r="B134" s="66" t="s">
        <v>245</v>
      </c>
      <c r="C134" s="19">
        <f t="shared" si="20"/>
        <v>36.57</v>
      </c>
      <c r="D134" s="3" t="s">
        <v>81</v>
      </c>
      <c r="E134" s="48" t="s">
        <v>529</v>
      </c>
      <c r="I134" s="34">
        <v>5</v>
      </c>
      <c r="J134" s="34" t="s">
        <v>246</v>
      </c>
      <c r="K134" s="34">
        <v>4.0000000000000001E-3</v>
      </c>
      <c r="L134" s="44">
        <f>M121</f>
        <v>77661.939894878364</v>
      </c>
      <c r="M134" s="33">
        <f t="shared" si="18"/>
        <v>310.64775957951343</v>
      </c>
      <c r="N134" s="35">
        <f t="shared" si="19"/>
        <v>1.4240876483590024E-3</v>
      </c>
    </row>
    <row r="135" spans="2:14" x14ac:dyDescent="0.25">
      <c r="B135" s="66" t="s">
        <v>247</v>
      </c>
      <c r="C135" s="19">
        <f t="shared" si="20"/>
        <v>36.57</v>
      </c>
      <c r="D135" s="3" t="s">
        <v>81</v>
      </c>
      <c r="E135" s="48" t="s">
        <v>529</v>
      </c>
      <c r="I135" s="34">
        <v>6</v>
      </c>
      <c r="J135" s="34" t="s">
        <v>248</v>
      </c>
      <c r="K135" s="34">
        <v>0.55000000000000004</v>
      </c>
      <c r="L135" s="44">
        <f>M130+M131+M133</f>
        <v>90649.292745536615</v>
      </c>
      <c r="M135" s="33">
        <f t="shared" si="18"/>
        <v>49857.111010045141</v>
      </c>
      <c r="N135" s="35">
        <f t="shared" si="19"/>
        <v>0.22855756651319262</v>
      </c>
    </row>
    <row r="136" spans="2:14" x14ac:dyDescent="0.25">
      <c r="B136" s="66" t="s">
        <v>249</v>
      </c>
      <c r="C136" s="19">
        <f t="shared" si="20"/>
        <v>36.35</v>
      </c>
      <c r="D136" s="3" t="s">
        <v>81</v>
      </c>
      <c r="E136" s="48" t="s">
        <v>530</v>
      </c>
      <c r="I136" s="34">
        <v>7</v>
      </c>
      <c r="J136" s="34" t="s">
        <v>250</v>
      </c>
      <c r="K136" s="34">
        <f>0.21</f>
        <v>0.21</v>
      </c>
      <c r="L136" s="44">
        <f>M121+M128+M133+M134</f>
        <v>181536.06432663565</v>
      </c>
      <c r="M136" s="33">
        <f t="shared" si="18"/>
        <v>38122.573508593487</v>
      </c>
      <c r="N136" s="35">
        <f t="shared" si="19"/>
        <v>0.17476348817300921</v>
      </c>
    </row>
    <row r="137" spans="2:14" x14ac:dyDescent="0.25">
      <c r="B137" s="66" t="s">
        <v>251</v>
      </c>
      <c r="C137" s="19">
        <f t="shared" si="20"/>
        <v>36.35</v>
      </c>
      <c r="D137" s="3" t="s">
        <v>81</v>
      </c>
      <c r="E137" s="48" t="s">
        <v>530</v>
      </c>
      <c r="I137" s="34">
        <v>8</v>
      </c>
      <c r="J137" s="34" t="s">
        <v>252</v>
      </c>
      <c r="K137" s="34">
        <v>0.05</v>
      </c>
      <c r="L137" s="44">
        <f>M121+M128</f>
        <v>162576.12382151952</v>
      </c>
      <c r="M137" s="33">
        <f t="shared" si="18"/>
        <v>8128.8061910759761</v>
      </c>
      <c r="N137" s="35">
        <f t="shared" si="19"/>
        <v>3.7264496960431027E-2</v>
      </c>
    </row>
    <row r="138" spans="2:14" ht="15.75" thickBot="1" x14ac:dyDescent="0.3">
      <c r="B138" s="66" t="s">
        <v>253</v>
      </c>
      <c r="C138" s="19">
        <f t="shared" si="20"/>
        <v>36.35</v>
      </c>
      <c r="D138" s="3" t="s">
        <v>81</v>
      </c>
      <c r="E138" s="48" t="s">
        <v>530</v>
      </c>
      <c r="I138" s="34">
        <v>9</v>
      </c>
      <c r="J138" s="34" t="s">
        <v>254</v>
      </c>
      <c r="K138" s="34">
        <v>0.05</v>
      </c>
      <c r="L138" s="50">
        <f>M121+M128+M131+M132+M133+M134+M135</f>
        <v>261393.17533668078</v>
      </c>
      <c r="M138" s="41">
        <f t="shared" si="18"/>
        <v>13069.65876683404</v>
      </c>
      <c r="N138" s="51">
        <f t="shared" si="19"/>
        <v>5.9914610822587602E-2</v>
      </c>
    </row>
    <row r="139" spans="2:14" ht="15.75" thickBot="1" x14ac:dyDescent="0.3">
      <c r="B139" s="73" t="s">
        <v>213</v>
      </c>
      <c r="C139" s="11">
        <f>SUM(C132:C138)</f>
        <v>255.18999999999997</v>
      </c>
      <c r="D139" s="3" t="s">
        <v>81</v>
      </c>
      <c r="L139" s="69" t="s">
        <v>224</v>
      </c>
      <c r="M139" s="74">
        <f>SUM(M130:M138)</f>
        <v>218138.08998166476</v>
      </c>
      <c r="N139" s="52">
        <f>SUM(N130:N138)</f>
        <v>1</v>
      </c>
    </row>
    <row r="140" spans="2:14" x14ac:dyDescent="0.25">
      <c r="B140" s="75"/>
      <c r="C140" s="15">
        <f>(C139/1000)*8</f>
        <v>2.0415199999999998</v>
      </c>
      <c r="D140" s="11" t="s">
        <v>175</v>
      </c>
    </row>
    <row r="141" spans="2:14" x14ac:dyDescent="0.25">
      <c r="B141" s="26" t="s">
        <v>531</v>
      </c>
      <c r="I141" s="197" t="s">
        <v>255</v>
      </c>
      <c r="J141" s="197"/>
      <c r="K141" s="197"/>
      <c r="L141" s="197"/>
    </row>
    <row r="142" spans="2:14" x14ac:dyDescent="0.25">
      <c r="I142" s="32" t="s">
        <v>109</v>
      </c>
      <c r="J142" s="32" t="s">
        <v>110</v>
      </c>
      <c r="K142" s="32" t="s">
        <v>148</v>
      </c>
      <c r="L142" s="32" t="s">
        <v>29</v>
      </c>
    </row>
    <row r="143" spans="2:14" x14ac:dyDescent="0.25">
      <c r="I143" s="34">
        <v>1</v>
      </c>
      <c r="J143" s="34" t="s">
        <v>256</v>
      </c>
      <c r="K143" s="44">
        <f>L111</f>
        <v>226094.7006005132</v>
      </c>
      <c r="L143" s="35">
        <f>(K143/$K$147)</f>
        <v>0.37259620818638312</v>
      </c>
    </row>
    <row r="144" spans="2:14" x14ac:dyDescent="0.25">
      <c r="I144" s="34">
        <v>2</v>
      </c>
      <c r="J144" s="34" t="s">
        <v>199</v>
      </c>
      <c r="K144" s="44">
        <f>M121</f>
        <v>77661.939894878364</v>
      </c>
      <c r="L144" s="35">
        <f>(K144/$K$147)</f>
        <v>0.12798417764049438</v>
      </c>
    </row>
    <row r="145" spans="1:18" x14ac:dyDescent="0.25">
      <c r="I145" s="34">
        <v>3</v>
      </c>
      <c r="J145" s="34" t="s">
        <v>197</v>
      </c>
      <c r="K145" s="44">
        <f>M128</f>
        <v>84914.183926641155</v>
      </c>
      <c r="L145" s="35">
        <f>(K145/$K$147)</f>
        <v>0.13993562373763926</v>
      </c>
    </row>
    <row r="146" spans="1:18" ht="15.75" thickBot="1" x14ac:dyDescent="0.3">
      <c r="C146" s="6"/>
      <c r="D146" s="6"/>
      <c r="I146" s="34">
        <v>4</v>
      </c>
      <c r="J146" s="34" t="s">
        <v>238</v>
      </c>
      <c r="K146" s="50">
        <f>M139</f>
        <v>218138.08998166476</v>
      </c>
      <c r="L146" s="51">
        <f>(K146/$K$147)</f>
        <v>0.35948399043548324</v>
      </c>
    </row>
    <row r="147" spans="1:18" ht="15.75" thickBot="1" x14ac:dyDescent="0.3">
      <c r="C147" s="6"/>
      <c r="D147" s="6"/>
      <c r="K147" s="76">
        <f>SUM(K143:K146)</f>
        <v>606808.91440369748</v>
      </c>
      <c r="L147" s="52">
        <f>SUM(L143:L146)</f>
        <v>1</v>
      </c>
    </row>
    <row r="148" spans="1:18" ht="15.75" thickBot="1" x14ac:dyDescent="0.3"/>
    <row r="149" spans="1:18" x14ac:dyDescent="0.25">
      <c r="J149" s="77" t="s">
        <v>257</v>
      </c>
      <c r="K149" s="78">
        <f>K147</f>
        <v>606808.91440369748</v>
      </c>
    </row>
    <row r="150" spans="1:18" ht="17.25" x14ac:dyDescent="0.25">
      <c r="J150" s="79" t="s">
        <v>258</v>
      </c>
      <c r="K150" s="80">
        <f>K149/(N20*365)</f>
        <v>328.1813012823485</v>
      </c>
    </row>
    <row r="151" spans="1:18" ht="18" thickBot="1" x14ac:dyDescent="0.3">
      <c r="J151" s="81" t="s">
        <v>259</v>
      </c>
      <c r="K151" s="82">
        <f>(C155+C156)/(D20*G90)</f>
        <v>169.15003071028437</v>
      </c>
    </row>
    <row r="153" spans="1:18" ht="20.25" thickBot="1" x14ac:dyDescent="0.35">
      <c r="B153" s="201" t="s">
        <v>260</v>
      </c>
      <c r="C153" s="201"/>
      <c r="D153" s="201"/>
      <c r="E153" s="201"/>
      <c r="F153" s="201"/>
      <c r="G153" s="201"/>
      <c r="H153" s="201"/>
      <c r="I153" s="201"/>
      <c r="J153" s="83"/>
      <c r="K153" s="201" t="s">
        <v>261</v>
      </c>
      <c r="L153" s="201"/>
      <c r="M153" s="201"/>
      <c r="N153" s="201"/>
      <c r="O153" s="201"/>
      <c r="P153" s="201"/>
      <c r="Q153" s="201"/>
      <c r="R153" s="201"/>
    </row>
    <row r="154" spans="1:18" ht="16.5" thickTop="1" thickBot="1" x14ac:dyDescent="0.3"/>
    <row r="155" spans="1:18" ht="15.75" thickBot="1" x14ac:dyDescent="0.3">
      <c r="A155" s="84" t="s">
        <v>262</v>
      </c>
      <c r="B155" s="39" t="s">
        <v>263</v>
      </c>
      <c r="C155" s="44">
        <f>L102+L108+L109+L110</f>
        <v>1951154.2795626507</v>
      </c>
      <c r="K155" s="85"/>
      <c r="L155" s="86" t="s">
        <v>25</v>
      </c>
      <c r="M155" s="87" t="s">
        <v>264</v>
      </c>
      <c r="N155" s="86" t="s">
        <v>25</v>
      </c>
      <c r="O155" s="87" t="s">
        <v>265</v>
      </c>
      <c r="P155" s="86" t="s">
        <v>25</v>
      </c>
      <c r="Q155" s="87" t="s">
        <v>532</v>
      </c>
      <c r="R155" s="88" t="s">
        <v>533</v>
      </c>
    </row>
    <row r="156" spans="1:18" x14ac:dyDescent="0.25">
      <c r="A156" s="84" t="s">
        <v>266</v>
      </c>
      <c r="B156" s="39" t="s">
        <v>267</v>
      </c>
      <c r="C156" s="44">
        <f>M121+M128+M139</f>
        <v>380714.21380318428</v>
      </c>
      <c r="K156" s="89" t="s">
        <v>268</v>
      </c>
      <c r="L156" s="90">
        <f>(N28/N21)*100</f>
        <v>4.5874131114078667</v>
      </c>
      <c r="M156" s="91">
        <v>30.8</v>
      </c>
      <c r="N156" s="92">
        <f>L156</f>
        <v>4.5874131114078667</v>
      </c>
      <c r="O156" s="91" t="s">
        <v>39</v>
      </c>
      <c r="P156" s="92">
        <f>N156</f>
        <v>4.5874131114078667</v>
      </c>
      <c r="Q156" s="91">
        <v>4</v>
      </c>
    </row>
    <row r="157" spans="1:18" x14ac:dyDescent="0.25">
      <c r="B157" s="39" t="s">
        <v>269</v>
      </c>
      <c r="C157" s="3">
        <v>0.05</v>
      </c>
      <c r="K157" s="93" t="s">
        <v>270</v>
      </c>
      <c r="L157" s="90">
        <f>(N30/N21)*100</f>
        <v>0.82820767099518766</v>
      </c>
      <c r="M157" s="91">
        <v>3.5</v>
      </c>
      <c r="N157" s="92">
        <f>L157</f>
        <v>0.82820767099518766</v>
      </c>
      <c r="O157" s="91">
        <v>12</v>
      </c>
      <c r="P157" s="92">
        <f>N157</f>
        <v>0.82820767099518766</v>
      </c>
      <c r="Q157" s="91">
        <v>12</v>
      </c>
    </row>
    <row r="158" spans="1:18" x14ac:dyDescent="0.25">
      <c r="B158" s="39" t="s">
        <v>271</v>
      </c>
      <c r="C158" s="3">
        <f>K106</f>
        <v>10</v>
      </c>
      <c r="K158" s="93" t="s">
        <v>272</v>
      </c>
      <c r="L158" s="90">
        <f>(N34/N21)*100</f>
        <v>1.6523862478082061</v>
      </c>
      <c r="M158" s="91" t="s">
        <v>39</v>
      </c>
      <c r="N158" s="92">
        <f>L158</f>
        <v>1.6523862478082061</v>
      </c>
      <c r="O158" s="91">
        <v>24</v>
      </c>
      <c r="P158" s="92">
        <f>N158</f>
        <v>1.6523862478082061</v>
      </c>
      <c r="Q158" s="91">
        <v>4</v>
      </c>
    </row>
    <row r="159" spans="1:18" ht="15.75" thickBot="1" x14ac:dyDescent="0.3">
      <c r="K159" s="94" t="s">
        <v>273</v>
      </c>
      <c r="L159" s="95">
        <v>807.65011265797284</v>
      </c>
      <c r="M159" s="96">
        <v>120</v>
      </c>
      <c r="N159" s="95">
        <v>871.46682253550148</v>
      </c>
      <c r="O159" s="96">
        <f>5*12</f>
        <v>60</v>
      </c>
      <c r="P159" s="95">
        <v>871.46682253550148</v>
      </c>
      <c r="Q159" s="96">
        <f>5*12</f>
        <v>60</v>
      </c>
    </row>
    <row r="160" spans="1:18" x14ac:dyDescent="0.25">
      <c r="B160" s="97" t="s">
        <v>274</v>
      </c>
      <c r="C160" s="98">
        <f>((C157*(1+C157)^C158)/((1+C157)^C158-1))*C155+C156</f>
        <v>633397.61946997722</v>
      </c>
      <c r="D160" s="99" t="s">
        <v>275</v>
      </c>
      <c r="K160" s="93" t="s">
        <v>276</v>
      </c>
      <c r="L160" s="90">
        <f>C161/1000</f>
        <v>0.34256130727919365</v>
      </c>
      <c r="M160" s="100">
        <f>'[1]Escenario 1'!M160</f>
        <v>1.028125</v>
      </c>
      <c r="N160" s="92">
        <f>L160</f>
        <v>0.34256130727919365</v>
      </c>
      <c r="O160" s="100">
        <f>'[1]Escenario 1'!O160</f>
        <v>6.3849999999999998</v>
      </c>
      <c r="P160" s="92">
        <f>N160</f>
        <v>0.34256130727919365</v>
      </c>
      <c r="Q160" s="100">
        <f>'[1]Escenario 1'!Q160</f>
        <v>6.3849999999999998</v>
      </c>
    </row>
    <row r="161" spans="2:20" ht="18" thickBot="1" x14ac:dyDescent="0.3">
      <c r="B161" s="101" t="s">
        <v>91</v>
      </c>
      <c r="C161" s="102">
        <f>C160/C169</f>
        <v>342.56130727919367</v>
      </c>
      <c r="D161" s="103" t="s">
        <v>277</v>
      </c>
      <c r="K161" s="93" t="s">
        <v>278</v>
      </c>
      <c r="L161" s="104">
        <f>L$159*1*(L156/100)</f>
        <v>37.050247162372251</v>
      </c>
      <c r="M161" s="105">
        <f>M$159*1*(M156/100)</f>
        <v>36.96</v>
      </c>
      <c r="N161" s="104">
        <f>N$159*1*(N156/100)</f>
        <v>39.977783278563123</v>
      </c>
      <c r="O161" s="105" t="s">
        <v>39</v>
      </c>
      <c r="P161" s="104">
        <f t="shared" ref="P161:Q163" si="21">P$159*1*(P156/100)</f>
        <v>39.977783278563123</v>
      </c>
      <c r="Q161" s="105">
        <f>Q$159*1*(Q156/100)</f>
        <v>2.4</v>
      </c>
    </row>
    <row r="162" spans="2:20" x14ac:dyDescent="0.25">
      <c r="K162" s="93" t="s">
        <v>279</v>
      </c>
      <c r="L162" s="104">
        <f t="shared" ref="L162:O163" si="22">L$159*1*(L157/100)</f>
        <v>6.6890201878346058</v>
      </c>
      <c r="M162" s="105">
        <f t="shared" si="22"/>
        <v>4.2</v>
      </c>
      <c r="N162" s="104">
        <f>N$159*1*(N157/100)</f>
        <v>7.2175550744170414</v>
      </c>
      <c r="O162" s="105">
        <f>O$159*1*(O157/100)</f>
        <v>7.1999999999999993</v>
      </c>
      <c r="P162" s="104">
        <f t="shared" si="21"/>
        <v>7.2175550744170414</v>
      </c>
      <c r="Q162" s="105">
        <f t="shared" si="21"/>
        <v>7.1999999999999993</v>
      </c>
    </row>
    <row r="163" spans="2:20" x14ac:dyDescent="0.25">
      <c r="B163" s="107" t="s">
        <v>534</v>
      </c>
      <c r="C163" s="211" t="s">
        <v>280</v>
      </c>
      <c r="D163" s="211"/>
      <c r="E163" s="211"/>
      <c r="F163" s="211"/>
      <c r="K163" s="93" t="s">
        <v>281</v>
      </c>
      <c r="L163" s="104">
        <f t="shared" si="22"/>
        <v>13.345499391967826</v>
      </c>
      <c r="M163" s="105" t="s">
        <v>39</v>
      </c>
      <c r="N163" s="104">
        <f t="shared" si="22"/>
        <v>14.399997929787771</v>
      </c>
      <c r="O163" s="106">
        <f t="shared" si="22"/>
        <v>14.399999999999999</v>
      </c>
      <c r="P163" s="104">
        <f t="shared" si="21"/>
        <v>14.399997929787771</v>
      </c>
      <c r="Q163" s="106">
        <f t="shared" si="21"/>
        <v>2.4</v>
      </c>
    </row>
    <row r="164" spans="2:20" ht="15.75" thickBot="1" x14ac:dyDescent="0.3">
      <c r="B164" s="107" t="s">
        <v>282</v>
      </c>
      <c r="C164" s="211" t="s">
        <v>283</v>
      </c>
      <c r="D164" s="211"/>
      <c r="E164" s="211"/>
      <c r="F164" s="211"/>
      <c r="K164" s="108" t="s">
        <v>284</v>
      </c>
      <c r="L164" s="109">
        <f t="shared" ref="L164:Q164" si="23">L159*L160</f>
        <v>276.66967841630321</v>
      </c>
      <c r="M164" s="110">
        <f t="shared" si="23"/>
        <v>123.375</v>
      </c>
      <c r="N164" s="109">
        <f t="shared" si="23"/>
        <v>298.53081397820642</v>
      </c>
      <c r="O164" s="111">
        <f t="shared" si="23"/>
        <v>383.09999999999997</v>
      </c>
      <c r="P164" s="109">
        <f t="shared" si="23"/>
        <v>298.53081397820642</v>
      </c>
      <c r="Q164" s="111">
        <f t="shared" si="23"/>
        <v>383.09999999999997</v>
      </c>
      <c r="T164">
        <f>L156/'[1]Escenario 1'!L156</f>
        <v>4.299841291625965</v>
      </c>
    </row>
    <row r="165" spans="2:20" x14ac:dyDescent="0.25">
      <c r="B165" s="107" t="s">
        <v>285</v>
      </c>
      <c r="C165" s="211" t="s">
        <v>286</v>
      </c>
      <c r="D165" s="211"/>
      <c r="E165" s="211"/>
      <c r="F165" s="211"/>
      <c r="T165">
        <f>L157/'[1]Escenario 1'!L157</f>
        <v>3.4925116664631055</v>
      </c>
    </row>
    <row r="166" spans="2:20" x14ac:dyDescent="0.25">
      <c r="B166" s="107" t="s">
        <v>287</v>
      </c>
      <c r="C166" s="211" t="s">
        <v>288</v>
      </c>
      <c r="D166" s="211"/>
      <c r="E166" s="211"/>
      <c r="F166" s="211"/>
      <c r="K166" s="23" t="s">
        <v>289</v>
      </c>
      <c r="L166" s="19">
        <f>L156/L157</f>
        <v>5.5389647694225737</v>
      </c>
      <c r="T166">
        <f>L158/'[1]Escenario 1'!L158</f>
        <v>3.4834620059211989</v>
      </c>
    </row>
    <row r="167" spans="2:20" x14ac:dyDescent="0.25">
      <c r="B167" s="107" t="s">
        <v>274</v>
      </c>
      <c r="C167" s="211" t="s">
        <v>290</v>
      </c>
      <c r="D167" s="211"/>
      <c r="E167" s="211"/>
      <c r="F167" s="211"/>
    </row>
    <row r="169" spans="2:20" ht="17.25" x14ac:dyDescent="0.25">
      <c r="B169" s="107" t="s">
        <v>291</v>
      </c>
      <c r="C169" s="19">
        <f>N20*G90</f>
        <v>1849.0051445119771</v>
      </c>
      <c r="D169" s="3" t="s">
        <v>292</v>
      </c>
    </row>
    <row r="171" spans="2:20" ht="20.25" thickBot="1" x14ac:dyDescent="0.35">
      <c r="B171" s="201" t="s">
        <v>535</v>
      </c>
      <c r="C171" s="201"/>
      <c r="D171" s="201"/>
      <c r="E171" s="201"/>
      <c r="F171" s="201"/>
      <c r="G171" s="201"/>
      <c r="H171" s="201"/>
      <c r="I171" s="201"/>
      <c r="J171" s="201"/>
      <c r="K171" s="201"/>
      <c r="L171" s="201"/>
      <c r="M171" s="201"/>
      <c r="N171" s="201"/>
      <c r="O171" s="201"/>
      <c r="P171" s="201"/>
    </row>
    <row r="172" spans="2:20" ht="15.75" thickTop="1" x14ac:dyDescent="0.25"/>
    <row r="173" spans="2:20" x14ac:dyDescent="0.25">
      <c r="B173" s="39" t="s">
        <v>293</v>
      </c>
      <c r="C173" s="36">
        <v>0</v>
      </c>
      <c r="D173" s="36">
        <v>1</v>
      </c>
      <c r="E173" s="36">
        <v>2</v>
      </c>
      <c r="F173" s="36">
        <v>3</v>
      </c>
      <c r="G173" s="36">
        <v>4</v>
      </c>
      <c r="H173" s="36">
        <v>5</v>
      </c>
      <c r="I173" s="36">
        <v>6</v>
      </c>
      <c r="J173" s="36">
        <v>7</v>
      </c>
      <c r="K173" s="36">
        <v>8</v>
      </c>
      <c r="L173" s="36">
        <v>9</v>
      </c>
      <c r="M173" s="36">
        <v>10</v>
      </c>
    </row>
    <row r="174" spans="2:20" x14ac:dyDescent="0.25">
      <c r="B174" s="39" t="s">
        <v>294</v>
      </c>
      <c r="C174" s="44">
        <f>C155</f>
        <v>1951154.2795626507</v>
      </c>
      <c r="D174" s="34"/>
      <c r="E174" s="34"/>
      <c r="F174" s="34"/>
      <c r="G174" s="34"/>
      <c r="H174" s="34"/>
      <c r="I174" s="34"/>
      <c r="J174" s="34"/>
      <c r="K174" s="34"/>
      <c r="L174" s="34"/>
      <c r="M174" s="34"/>
    </row>
    <row r="175" spans="2:20" x14ac:dyDescent="0.25">
      <c r="B175" s="39" t="s">
        <v>295</v>
      </c>
      <c r="C175" s="34"/>
      <c r="D175" s="44">
        <f>C186*C183</f>
        <v>714373.85910853313</v>
      </c>
      <c r="E175" s="44">
        <f>$D$175</f>
        <v>714373.85910853313</v>
      </c>
      <c r="F175" s="44">
        <f t="shared" ref="F175:M175" si="24">$D$175</f>
        <v>714373.85910853313</v>
      </c>
      <c r="G175" s="44">
        <f t="shared" si="24"/>
        <v>714373.85910853313</v>
      </c>
      <c r="H175" s="44">
        <f t="shared" si="24"/>
        <v>714373.85910853313</v>
      </c>
      <c r="I175" s="44">
        <f t="shared" si="24"/>
        <v>714373.85910853313</v>
      </c>
      <c r="J175" s="44">
        <f t="shared" si="24"/>
        <v>714373.85910853313</v>
      </c>
      <c r="K175" s="44">
        <f t="shared" si="24"/>
        <v>714373.85910853313</v>
      </c>
      <c r="L175" s="44">
        <f t="shared" si="24"/>
        <v>714373.85910853313</v>
      </c>
      <c r="M175" s="44">
        <f t="shared" si="24"/>
        <v>714373.85910853313</v>
      </c>
    </row>
    <row r="176" spans="2:20" x14ac:dyDescent="0.25">
      <c r="B176" s="39" t="s">
        <v>296</v>
      </c>
      <c r="C176" s="34"/>
      <c r="D176" s="44">
        <f>C156</f>
        <v>380714.21380318428</v>
      </c>
      <c r="E176" s="44">
        <f>$D$176</f>
        <v>380714.21380318428</v>
      </c>
      <c r="F176" s="44">
        <f t="shared" ref="F176:M176" si="25">$D$176</f>
        <v>380714.21380318428</v>
      </c>
      <c r="G176" s="44">
        <f t="shared" si="25"/>
        <v>380714.21380318428</v>
      </c>
      <c r="H176" s="44">
        <f t="shared" si="25"/>
        <v>380714.21380318428</v>
      </c>
      <c r="I176" s="44">
        <f t="shared" si="25"/>
        <v>380714.21380318428</v>
      </c>
      <c r="J176" s="44">
        <f t="shared" si="25"/>
        <v>380714.21380318428</v>
      </c>
      <c r="K176" s="44">
        <f t="shared" si="25"/>
        <v>380714.21380318428</v>
      </c>
      <c r="L176" s="44">
        <f t="shared" si="25"/>
        <v>380714.21380318428</v>
      </c>
      <c r="M176" s="44">
        <f t="shared" si="25"/>
        <v>380714.21380318428</v>
      </c>
    </row>
    <row r="177" spans="2:16" x14ac:dyDescent="0.25">
      <c r="B177" s="39" t="s">
        <v>297</v>
      </c>
      <c r="C177" s="34"/>
      <c r="D177" s="44">
        <f>D175-D176</f>
        <v>333659.64530534885</v>
      </c>
      <c r="E177" s="44">
        <f t="shared" ref="E177:M177" si="26">E175-E176</f>
        <v>333659.64530534885</v>
      </c>
      <c r="F177" s="44">
        <f t="shared" si="26"/>
        <v>333659.64530534885</v>
      </c>
      <c r="G177" s="44">
        <f t="shared" si="26"/>
        <v>333659.64530534885</v>
      </c>
      <c r="H177" s="44">
        <f t="shared" si="26"/>
        <v>333659.64530534885</v>
      </c>
      <c r="I177" s="44">
        <f t="shared" si="26"/>
        <v>333659.64530534885</v>
      </c>
      <c r="J177" s="44">
        <f t="shared" si="26"/>
        <v>333659.64530534885</v>
      </c>
      <c r="K177" s="44">
        <f t="shared" si="26"/>
        <v>333659.64530534885</v>
      </c>
      <c r="L177" s="44">
        <f t="shared" si="26"/>
        <v>333659.64530534885</v>
      </c>
      <c r="M177" s="44">
        <f t="shared" si="26"/>
        <v>333659.64530534885</v>
      </c>
    </row>
    <row r="178" spans="2:16" x14ac:dyDescent="0.25">
      <c r="B178" s="39" t="s">
        <v>298</v>
      </c>
      <c r="C178" s="34"/>
      <c r="D178" s="44">
        <f>D177/((1+$C$157)^$C$158)</f>
        <v>204838.07842466244</v>
      </c>
      <c r="E178" s="44">
        <f t="shared" ref="E178:M178" si="27">E177/((1+$C$157)^$C$158)</f>
        <v>204838.07842466244</v>
      </c>
      <c r="F178" s="44">
        <f t="shared" si="27"/>
        <v>204838.07842466244</v>
      </c>
      <c r="G178" s="44">
        <f t="shared" si="27"/>
        <v>204838.07842466244</v>
      </c>
      <c r="H178" s="44">
        <f t="shared" si="27"/>
        <v>204838.07842466244</v>
      </c>
      <c r="I178" s="44">
        <f t="shared" si="27"/>
        <v>204838.07842466244</v>
      </c>
      <c r="J178" s="44">
        <f t="shared" si="27"/>
        <v>204838.07842466244</v>
      </c>
      <c r="K178" s="44">
        <f t="shared" si="27"/>
        <v>204838.07842466244</v>
      </c>
      <c r="L178" s="44">
        <f t="shared" si="27"/>
        <v>204838.07842466244</v>
      </c>
      <c r="M178" s="44">
        <f t="shared" si="27"/>
        <v>204838.07842466244</v>
      </c>
    </row>
    <row r="179" spans="2:16" ht="15.75" thickBot="1" x14ac:dyDescent="0.3"/>
    <row r="180" spans="2:16" ht="15.75" thickBot="1" x14ac:dyDescent="0.3">
      <c r="B180" s="112" t="s">
        <v>299</v>
      </c>
      <c r="C180" s="113">
        <f>SUM(D178:M178)-C174</f>
        <v>97226.504683973268</v>
      </c>
    </row>
    <row r="181" spans="2:16" x14ac:dyDescent="0.25">
      <c r="D181" s="114"/>
    </row>
    <row r="182" spans="2:16" x14ac:dyDescent="0.25">
      <c r="B182" s="39" t="s">
        <v>300</v>
      </c>
      <c r="C182" s="33">
        <f>C161</f>
        <v>342.56130727919367</v>
      </c>
    </row>
    <row r="183" spans="2:16" x14ac:dyDescent="0.25">
      <c r="B183" s="39" t="s">
        <v>301</v>
      </c>
      <c r="C183" s="33">
        <v>386.35579853785839</v>
      </c>
    </row>
    <row r="185" spans="2:16" x14ac:dyDescent="0.25">
      <c r="B185" s="199" t="s">
        <v>291</v>
      </c>
      <c r="C185" s="19">
        <f>C186*1000</f>
        <v>1849005.144511977</v>
      </c>
      <c r="D185" s="11" t="s">
        <v>302</v>
      </c>
    </row>
    <row r="186" spans="2:16" ht="17.25" x14ac:dyDescent="0.25">
      <c r="B186" s="200"/>
      <c r="C186" s="19">
        <f>C169</f>
        <v>1849.0051445119771</v>
      </c>
      <c r="D186" s="3" t="s">
        <v>292</v>
      </c>
    </row>
    <row r="188" spans="2:16" x14ac:dyDescent="0.25">
      <c r="B188" s="26" t="s">
        <v>303</v>
      </c>
    </row>
    <row r="190" spans="2:16" ht="20.25" thickBot="1" x14ac:dyDescent="0.35">
      <c r="B190" s="201" t="s">
        <v>304</v>
      </c>
      <c r="C190" s="201"/>
      <c r="D190" s="201"/>
      <c r="E190" s="201"/>
      <c r="F190" s="201"/>
      <c r="G190" s="201"/>
      <c r="H190" s="201"/>
      <c r="I190" s="201"/>
      <c r="J190" s="201"/>
      <c r="K190" s="201"/>
      <c r="L190" s="201"/>
      <c r="M190" s="201"/>
      <c r="N190" s="201"/>
      <c r="O190" s="201"/>
      <c r="P190" s="201"/>
    </row>
    <row r="191" spans="2:16" ht="15.75" thickTop="1" x14ac:dyDescent="0.25"/>
    <row r="192" spans="2:16" x14ac:dyDescent="0.25">
      <c r="B192" s="197" t="s">
        <v>305</v>
      </c>
      <c r="C192" s="197"/>
      <c r="D192" s="197"/>
      <c r="E192" s="197"/>
      <c r="F192" s="197"/>
      <c r="G192" s="197"/>
      <c r="H192" s="197"/>
      <c r="I192" s="197"/>
      <c r="J192" s="197"/>
      <c r="K192" s="197"/>
    </row>
    <row r="193" spans="2:11" ht="17.25" x14ac:dyDescent="0.25">
      <c r="B193" s="3" t="s">
        <v>306</v>
      </c>
      <c r="C193" s="3" t="s">
        <v>307</v>
      </c>
      <c r="D193" s="3" t="s">
        <v>308</v>
      </c>
      <c r="E193" s="3" t="s">
        <v>309</v>
      </c>
      <c r="F193" s="3" t="s">
        <v>310</v>
      </c>
      <c r="G193" s="3" t="s">
        <v>311</v>
      </c>
      <c r="H193" s="3" t="s">
        <v>312</v>
      </c>
      <c r="I193" s="3" t="s">
        <v>313</v>
      </c>
      <c r="J193" s="3" t="s">
        <v>314</v>
      </c>
      <c r="K193" s="3" t="s">
        <v>315</v>
      </c>
    </row>
    <row r="194" spans="2:11" x14ac:dyDescent="0.25">
      <c r="B194" s="3" t="s">
        <v>4</v>
      </c>
      <c r="C194" s="19">
        <v>1573.7214611872146</v>
      </c>
      <c r="D194" s="19">
        <f>((1000*3*9.81)+101325)/101325</f>
        <v>1.2904515173945226</v>
      </c>
      <c r="E194" s="3">
        <v>1.5</v>
      </c>
      <c r="F194" s="3">
        <v>25</v>
      </c>
      <c r="G194" s="3">
        <v>2.1480000000000001</v>
      </c>
      <c r="H194" s="3">
        <v>1.577</v>
      </c>
      <c r="I194" s="63">
        <v>0.75</v>
      </c>
      <c r="J194" s="115">
        <v>4780</v>
      </c>
      <c r="K194" s="3">
        <v>36.5</v>
      </c>
    </row>
    <row r="195" spans="2:11" x14ac:dyDescent="0.25">
      <c r="B195" s="3" t="s">
        <v>5</v>
      </c>
      <c r="C195" s="19">
        <v>9245.6135844748842</v>
      </c>
      <c r="D195" s="19">
        <f>D194</f>
        <v>1.2904515173945226</v>
      </c>
      <c r="E195" s="3">
        <v>1.5</v>
      </c>
      <c r="F195" s="3">
        <v>25</v>
      </c>
      <c r="G195" s="3">
        <v>2.1480000000000001</v>
      </c>
      <c r="H195" s="3">
        <v>9.2639999999999993</v>
      </c>
      <c r="I195" s="63">
        <v>0.75</v>
      </c>
      <c r="J195" s="115">
        <v>5230</v>
      </c>
      <c r="K195" s="3">
        <v>36.5</v>
      </c>
    </row>
    <row r="196" spans="2:11" x14ac:dyDescent="0.25">
      <c r="B196" s="3" t="s">
        <v>6</v>
      </c>
      <c r="C196" s="19">
        <v>4917.8795662100447</v>
      </c>
      <c r="D196" s="3">
        <v>0.5</v>
      </c>
      <c r="E196" s="3">
        <v>1.5</v>
      </c>
      <c r="F196" s="3">
        <v>25</v>
      </c>
      <c r="G196" s="3">
        <v>10.23</v>
      </c>
      <c r="H196" s="3">
        <v>4.9279999999999999</v>
      </c>
      <c r="I196" s="63">
        <v>0.75</v>
      </c>
      <c r="J196" s="115">
        <v>5000</v>
      </c>
      <c r="K196" s="3">
        <v>36.57</v>
      </c>
    </row>
    <row r="197" spans="2:11" x14ac:dyDescent="0.25">
      <c r="B197" s="3" t="s">
        <v>9</v>
      </c>
      <c r="C197" s="19">
        <v>9835.7591324200894</v>
      </c>
      <c r="D197" s="3">
        <v>1</v>
      </c>
      <c r="E197" s="3">
        <v>1.5</v>
      </c>
      <c r="F197" s="3">
        <v>25</v>
      </c>
      <c r="G197" s="3">
        <v>5.1139999999999999</v>
      </c>
      <c r="H197" s="3">
        <v>9.8450000000000006</v>
      </c>
      <c r="I197" s="63">
        <v>0.75</v>
      </c>
      <c r="J197" s="115">
        <v>5340</v>
      </c>
      <c r="K197" s="3">
        <v>36.57</v>
      </c>
    </row>
    <row r="198" spans="2:11" x14ac:dyDescent="0.25">
      <c r="B198" s="3" t="s">
        <v>12</v>
      </c>
      <c r="C198" s="19">
        <v>207.6438039066463</v>
      </c>
      <c r="D198" s="3">
        <v>0.5</v>
      </c>
      <c r="E198" s="3">
        <v>1</v>
      </c>
      <c r="F198" s="3">
        <v>25</v>
      </c>
      <c r="G198" s="3">
        <v>5.1212</v>
      </c>
      <c r="H198" s="3">
        <v>0.22839999999999999</v>
      </c>
      <c r="I198" s="63">
        <v>0.75</v>
      </c>
      <c r="J198" s="115">
        <v>4560</v>
      </c>
      <c r="K198" s="3">
        <v>36.35</v>
      </c>
    </row>
    <row r="199" spans="2:11" x14ac:dyDescent="0.25">
      <c r="B199" s="3" t="s">
        <v>13</v>
      </c>
      <c r="C199" s="19">
        <v>207.6438039066463</v>
      </c>
      <c r="D199" s="3">
        <v>1</v>
      </c>
      <c r="E199" s="3">
        <v>1.29</v>
      </c>
      <c r="F199" s="3">
        <v>35</v>
      </c>
      <c r="G199" s="3">
        <v>2.9792000000000001</v>
      </c>
      <c r="H199" s="3">
        <v>0.2291</v>
      </c>
      <c r="I199" s="63">
        <v>0.75</v>
      </c>
      <c r="J199" s="115">
        <v>4560</v>
      </c>
      <c r="K199" s="3">
        <v>36.35</v>
      </c>
    </row>
    <row r="200" spans="2:11" x14ac:dyDescent="0.25">
      <c r="B200" s="3" t="s">
        <v>14</v>
      </c>
      <c r="C200" s="19">
        <v>211.88263946060633</v>
      </c>
      <c r="D200" s="3">
        <v>1.29</v>
      </c>
      <c r="E200" s="3">
        <v>1.5</v>
      </c>
      <c r="F200" s="3">
        <v>50</v>
      </c>
      <c r="G200" s="3">
        <v>2.1703999999999999</v>
      </c>
      <c r="H200" s="3">
        <v>0.2349</v>
      </c>
      <c r="I200" s="63">
        <v>0.75</v>
      </c>
      <c r="J200" s="115">
        <v>4560</v>
      </c>
      <c r="K200" s="3">
        <v>36.35</v>
      </c>
    </row>
    <row r="202" spans="2:11" x14ac:dyDescent="0.25">
      <c r="B202" s="197" t="s">
        <v>316</v>
      </c>
      <c r="C202" s="197"/>
      <c r="D202" s="197"/>
      <c r="E202" s="197"/>
      <c r="F202" s="197"/>
      <c r="G202" s="197"/>
      <c r="H202" s="197"/>
      <c r="I202" s="197"/>
      <c r="J202" s="197"/>
      <c r="K202" s="197"/>
    </row>
    <row r="203" spans="2:11" ht="17.25" x14ac:dyDescent="0.25">
      <c r="B203" s="3" t="s">
        <v>317</v>
      </c>
      <c r="C203" s="3" t="s">
        <v>318</v>
      </c>
      <c r="D203" s="3" t="s">
        <v>310</v>
      </c>
      <c r="E203" s="3" t="s">
        <v>319</v>
      </c>
      <c r="F203" s="3" t="s">
        <v>320</v>
      </c>
      <c r="G203" s="3" t="s">
        <v>321</v>
      </c>
      <c r="H203" s="3" t="s">
        <v>322</v>
      </c>
      <c r="I203" s="3" t="s">
        <v>346</v>
      </c>
      <c r="J203" s="3" t="s">
        <v>323</v>
      </c>
      <c r="K203" s="3"/>
    </row>
    <row r="204" spans="2:11" x14ac:dyDescent="0.25">
      <c r="B204" s="19">
        <f>N21/24</f>
        <v>211.07364663378732</v>
      </c>
      <c r="C204" s="3">
        <f>O61</f>
        <v>4</v>
      </c>
      <c r="D204" s="3">
        <v>50</v>
      </c>
      <c r="E204" s="19">
        <v>0.83</v>
      </c>
      <c r="F204" s="3">
        <v>1.9810000000000001</v>
      </c>
      <c r="G204" s="3">
        <v>0.30480000000000002</v>
      </c>
      <c r="H204" s="3">
        <v>38.51</v>
      </c>
      <c r="I204" s="116">
        <f>(2*PI()*(G204/2))*F204</f>
        <v>1.8969212902528687</v>
      </c>
      <c r="J204" s="115">
        <v>46400</v>
      </c>
      <c r="K204" s="3"/>
    </row>
    <row r="206" spans="2:11" x14ac:dyDescent="0.25">
      <c r="B206" s="197" t="s">
        <v>79</v>
      </c>
      <c r="C206" s="197"/>
      <c r="D206" s="197"/>
      <c r="E206" s="197"/>
      <c r="F206" s="197"/>
      <c r="G206" s="197"/>
      <c r="H206" s="197"/>
      <c r="I206" s="197"/>
      <c r="J206" s="197"/>
      <c r="K206" s="197"/>
    </row>
    <row r="207" spans="2:11" ht="17.25" x14ac:dyDescent="0.25">
      <c r="B207" s="3" t="s">
        <v>317</v>
      </c>
      <c r="C207" s="3" t="s">
        <v>318</v>
      </c>
      <c r="D207" s="3" t="s">
        <v>310</v>
      </c>
      <c r="E207" s="3" t="s">
        <v>319</v>
      </c>
      <c r="F207" s="3" t="s">
        <v>320</v>
      </c>
      <c r="G207" s="3" t="s">
        <v>321</v>
      </c>
      <c r="H207" s="3" t="s">
        <v>322</v>
      </c>
      <c r="I207" s="3" t="s">
        <v>346</v>
      </c>
      <c r="J207" s="3" t="s">
        <v>323</v>
      </c>
      <c r="K207" s="3"/>
    </row>
    <row r="208" spans="2:11" x14ac:dyDescent="0.25">
      <c r="B208" s="19">
        <f>N21/24</f>
        <v>211.07364663378732</v>
      </c>
      <c r="C208" s="3">
        <v>24</v>
      </c>
      <c r="D208" s="3">
        <v>25</v>
      </c>
      <c r="E208" s="19">
        <v>5.09</v>
      </c>
      <c r="F208" s="3">
        <v>1.2190000000000001</v>
      </c>
      <c r="G208" s="3">
        <v>2.59</v>
      </c>
      <c r="H208" s="3">
        <v>36.32</v>
      </c>
      <c r="I208" s="116">
        <f>(2*PI()*(G208/2))*F208</f>
        <v>9.9186677418402311</v>
      </c>
      <c r="J208" s="115">
        <v>17200</v>
      </c>
      <c r="K208" s="3"/>
    </row>
    <row r="210" spans="2:11" x14ac:dyDescent="0.25">
      <c r="B210" s="197" t="s">
        <v>519</v>
      </c>
      <c r="C210" s="197"/>
      <c r="D210" s="197"/>
      <c r="E210" s="197"/>
      <c r="F210" s="197"/>
      <c r="G210" s="197"/>
      <c r="H210" s="197"/>
      <c r="I210" s="197"/>
      <c r="J210" s="197"/>
      <c r="K210" s="197"/>
    </row>
    <row r="211" spans="2:11" x14ac:dyDescent="0.25">
      <c r="B211" s="3" t="s">
        <v>536</v>
      </c>
      <c r="C211" s="3" t="s">
        <v>537</v>
      </c>
      <c r="D211" s="3" t="s">
        <v>538</v>
      </c>
      <c r="E211" s="3"/>
      <c r="F211" s="3"/>
      <c r="G211" s="3" t="s">
        <v>321</v>
      </c>
      <c r="H211" s="3" t="s">
        <v>322</v>
      </c>
      <c r="I211" s="3"/>
      <c r="J211" s="3" t="s">
        <v>323</v>
      </c>
      <c r="K211" s="3"/>
    </row>
    <row r="212" spans="2:11" x14ac:dyDescent="0.25">
      <c r="B212" s="19">
        <f>I21/24</f>
        <v>9835.7591324200785</v>
      </c>
      <c r="C212" s="19">
        <f>L21/24</f>
        <v>207.6438039066461</v>
      </c>
      <c r="D212" s="19">
        <f>J21/24</f>
        <v>9628.1153285134315</v>
      </c>
      <c r="E212" s="19"/>
      <c r="F212" s="3"/>
      <c r="G212" s="3">
        <v>0.254</v>
      </c>
      <c r="H212" s="3">
        <v>44.941000000000003</v>
      </c>
      <c r="I212" s="3"/>
      <c r="J212" s="115">
        <v>274000</v>
      </c>
      <c r="K212" s="3"/>
    </row>
  </sheetData>
  <mergeCells count="79">
    <mergeCell ref="B24:B25"/>
    <mergeCell ref="R4:S4"/>
    <mergeCell ref="Q18:S18"/>
    <mergeCell ref="U18:W18"/>
    <mergeCell ref="B20:B21"/>
    <mergeCell ref="B22:B23"/>
    <mergeCell ref="B38:B39"/>
    <mergeCell ref="V38:W38"/>
    <mergeCell ref="B26:B27"/>
    <mergeCell ref="Q26:S26"/>
    <mergeCell ref="U26:W26"/>
    <mergeCell ref="B28:B29"/>
    <mergeCell ref="B30:B31"/>
    <mergeCell ref="U30:W30"/>
    <mergeCell ref="B32:B33"/>
    <mergeCell ref="B34:B35"/>
    <mergeCell ref="Q35:S35"/>
    <mergeCell ref="U35:W35"/>
    <mergeCell ref="B36:B37"/>
    <mergeCell ref="B40:B41"/>
    <mergeCell ref="B44:D44"/>
    <mergeCell ref="B46:E46"/>
    <mergeCell ref="B54:P54"/>
    <mergeCell ref="B56:D56"/>
    <mergeCell ref="F56:H56"/>
    <mergeCell ref="J56:L56"/>
    <mergeCell ref="N56:P56"/>
    <mergeCell ref="R56:T56"/>
    <mergeCell ref="B65:P65"/>
    <mergeCell ref="S65:Y65"/>
    <mergeCell ref="B67:G67"/>
    <mergeCell ref="I67:P67"/>
    <mergeCell ref="S67:S68"/>
    <mergeCell ref="W67:Y67"/>
    <mergeCell ref="C68:D68"/>
    <mergeCell ref="F68:G68"/>
    <mergeCell ref="K68:L68"/>
    <mergeCell ref="W68:W69"/>
    <mergeCell ref="V56:X56"/>
    <mergeCell ref="W75:Y75"/>
    <mergeCell ref="W78:W79"/>
    <mergeCell ref="B86:C86"/>
    <mergeCell ref="B87:D87"/>
    <mergeCell ref="I87:M87"/>
    <mergeCell ref="AD113:AE113"/>
    <mergeCell ref="B115:B116"/>
    <mergeCell ref="V116:W116"/>
    <mergeCell ref="B117:B118"/>
    <mergeCell ref="R117:S117"/>
    <mergeCell ref="B112:B113"/>
    <mergeCell ref="I113:N113"/>
    <mergeCell ref="Q113:S113"/>
    <mergeCell ref="U113:W113"/>
    <mergeCell ref="Z113:AA113"/>
    <mergeCell ref="AB113:AC113"/>
    <mergeCell ref="C167:F167"/>
    <mergeCell ref="B171:P171"/>
    <mergeCell ref="B131:D131"/>
    <mergeCell ref="I141:L141"/>
    <mergeCell ref="B153:I153"/>
    <mergeCell ref="K153:R153"/>
    <mergeCell ref="C163:F163"/>
    <mergeCell ref="C164:F164"/>
    <mergeCell ref="B192:K192"/>
    <mergeCell ref="B202:K202"/>
    <mergeCell ref="B206:K206"/>
    <mergeCell ref="B210:K210"/>
    <mergeCell ref="S72:S73"/>
    <mergeCell ref="B185:B186"/>
    <mergeCell ref="B190:P190"/>
    <mergeCell ref="I104:M104"/>
    <mergeCell ref="B108:B110"/>
    <mergeCell ref="B121:D121"/>
    <mergeCell ref="B89:D89"/>
    <mergeCell ref="B99:D99"/>
    <mergeCell ref="B101:B102"/>
    <mergeCell ref="B104:B105"/>
    <mergeCell ref="C165:F165"/>
    <mergeCell ref="C166:F166"/>
  </mergeCells>
  <hyperlinks>
    <hyperlink ref="R155" r:id="rId1" display="https://blogs.worldbank.org/opendata/fertilizer-prices-expected-remain-higher-longer" xr:uid="{00000000-0004-0000-0000-000000000000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55"/>
  <sheetViews>
    <sheetView topLeftCell="A13" zoomScale="90" zoomScaleNormal="90" workbookViewId="0">
      <selection activeCell="U44" sqref="U44"/>
    </sheetView>
  </sheetViews>
  <sheetFormatPr defaultColWidth="10.85546875" defaultRowHeight="15" x14ac:dyDescent="0.25"/>
  <cols>
    <col min="1" max="1" width="13.5703125" style="128" bestFit="1" customWidth="1"/>
    <col min="2" max="2" width="20.140625" style="128" bestFit="1" customWidth="1"/>
    <col min="3" max="3" width="12.140625" style="128" bestFit="1" customWidth="1"/>
    <col min="4" max="7" width="10.85546875" style="128"/>
    <col min="8" max="8" width="13.140625" style="128" bestFit="1" customWidth="1"/>
    <col min="9" max="9" width="13.140625" style="128" customWidth="1"/>
    <col min="10" max="16384" width="10.85546875" style="128"/>
  </cols>
  <sheetData>
    <row r="1" spans="1:12" x14ac:dyDescent="0.25">
      <c r="A1" s="175" t="s">
        <v>611</v>
      </c>
      <c r="D1" s="195" t="s">
        <v>638</v>
      </c>
      <c r="E1" s="195" t="s">
        <v>637</v>
      </c>
      <c r="F1" s="195"/>
      <c r="J1" s="195" t="s">
        <v>638</v>
      </c>
      <c r="K1" s="195" t="s">
        <v>637</v>
      </c>
      <c r="L1" s="195"/>
    </row>
    <row r="2" spans="1:12" ht="30" customHeight="1" x14ac:dyDescent="0.25">
      <c r="B2" s="162" t="s">
        <v>612</v>
      </c>
      <c r="C2" s="162" t="s">
        <v>337</v>
      </c>
      <c r="D2" s="162" t="s">
        <v>639</v>
      </c>
      <c r="E2" s="162" t="s">
        <v>640</v>
      </c>
      <c r="F2" s="162" t="s">
        <v>633</v>
      </c>
      <c r="H2" s="288" t="s">
        <v>601</v>
      </c>
      <c r="I2" s="289"/>
      <c r="J2" s="162" t="s">
        <v>639</v>
      </c>
      <c r="K2" s="162" t="s">
        <v>640</v>
      </c>
      <c r="L2" s="162" t="s">
        <v>633</v>
      </c>
    </row>
    <row r="3" spans="1:12" ht="18" x14ac:dyDescent="0.25">
      <c r="B3" s="123" t="s">
        <v>550</v>
      </c>
      <c r="C3" s="11" t="s">
        <v>551</v>
      </c>
      <c r="D3" s="15">
        <f>'Results Flue gas - membran (GF)'!D24</f>
        <v>4.3903268846300003</v>
      </c>
      <c r="E3" s="15">
        <f>'Results Biogas - membrane (GF)'!D24</f>
        <v>4.4193268846300002</v>
      </c>
      <c r="F3" s="15">
        <f>'Results SimaPro (GF)'!D24</f>
        <v>5.1456721646299997</v>
      </c>
      <c r="H3" s="15">
        <f>MAX(D3:F3)</f>
        <v>5.1456721646299997</v>
      </c>
      <c r="I3" s="15" t="s">
        <v>634</v>
      </c>
      <c r="J3" s="180">
        <f>D3/$H3</f>
        <v>0.8532076557088023</v>
      </c>
      <c r="K3" s="180">
        <f t="shared" ref="K3:L17" si="0">E3/$H3</f>
        <v>0.85884345975386733</v>
      </c>
      <c r="L3" s="180">
        <f t="shared" si="0"/>
        <v>1</v>
      </c>
    </row>
    <row r="4" spans="1:12" ht="18" x14ac:dyDescent="0.25">
      <c r="B4" s="123" t="s">
        <v>552</v>
      </c>
      <c r="C4" s="11" t="s">
        <v>551</v>
      </c>
      <c r="D4" s="15">
        <f>'Results Flue gas - membran (GF)'!D25</f>
        <v>8.20549065332</v>
      </c>
      <c r="E4" s="15">
        <f>'Results Biogas - membrane (GF)'!D25</f>
        <v>8.2164906533199993</v>
      </c>
      <c r="F4" s="15">
        <f>'Results SimaPro (GF)'!D25</f>
        <v>8.7811060833199992</v>
      </c>
      <c r="H4" s="15">
        <f t="shared" ref="H4:H17" si="1">MAX(D4:F4)</f>
        <v>8.7811060833199992</v>
      </c>
      <c r="I4" s="15" t="s">
        <v>633</v>
      </c>
      <c r="J4" s="180">
        <f t="shared" ref="J4:J16" si="2">D4/$H4</f>
        <v>0.93444841406785872</v>
      </c>
      <c r="K4" s="180">
        <f t="shared" si="0"/>
        <v>0.9357011036374443</v>
      </c>
      <c r="L4" s="180">
        <f t="shared" si="0"/>
        <v>1</v>
      </c>
    </row>
    <row r="5" spans="1:12" x14ac:dyDescent="0.25">
      <c r="B5" s="123" t="s">
        <v>553</v>
      </c>
      <c r="C5" s="11" t="s">
        <v>554</v>
      </c>
      <c r="D5" s="15">
        <f>'Results Flue gas - membran (GF)'!D26</f>
        <v>0.29544626421150005</v>
      </c>
      <c r="E5" s="15">
        <f>'Results Biogas - membrane (GF)'!D26</f>
        <v>0.2979462642115</v>
      </c>
      <c r="F5" s="15">
        <f>'Results SimaPro (GF)'!D26</f>
        <v>0.33162742421149999</v>
      </c>
      <c r="H5" s="15">
        <f t="shared" si="1"/>
        <v>0.33162742421149999</v>
      </c>
      <c r="I5" s="15" t="s">
        <v>635</v>
      </c>
      <c r="J5" s="180">
        <f t="shared" si="2"/>
        <v>0.89089816656138521</v>
      </c>
      <c r="K5" s="180">
        <f t="shared" si="0"/>
        <v>0.89843674696059106</v>
      </c>
      <c r="L5" s="180">
        <f t="shared" si="0"/>
        <v>1</v>
      </c>
    </row>
    <row r="6" spans="1:12" x14ac:dyDescent="0.25">
      <c r="B6" s="123" t="s">
        <v>555</v>
      </c>
      <c r="C6" s="11" t="s">
        <v>556</v>
      </c>
      <c r="D6" s="15">
        <f>'Results Flue gas - membran (GF)'!D27</f>
        <v>8788.7712546499988</v>
      </c>
      <c r="E6" s="15">
        <f>'Results Biogas - membrane (GF)'!D27</f>
        <v>8881.7712546499988</v>
      </c>
      <c r="F6" s="15">
        <f>'Results SimaPro (GF)'!D27</f>
        <v>9671.7412318499992</v>
      </c>
      <c r="H6" s="15">
        <f t="shared" si="1"/>
        <v>9671.7412318499992</v>
      </c>
      <c r="I6" s="15" t="s">
        <v>635</v>
      </c>
      <c r="J6" s="180">
        <f t="shared" si="2"/>
        <v>0.90870620335743757</v>
      </c>
      <c r="K6" s="180">
        <f t="shared" si="0"/>
        <v>0.91832184523314675</v>
      </c>
      <c r="L6" s="180">
        <f t="shared" si="0"/>
        <v>1</v>
      </c>
    </row>
    <row r="7" spans="1:12" x14ac:dyDescent="0.25">
      <c r="B7" s="123" t="s">
        <v>557</v>
      </c>
      <c r="C7" s="11" t="s">
        <v>558</v>
      </c>
      <c r="D7" s="15">
        <f>'Results Flue gas - membran (GF)'!D28</f>
        <v>4.93563152000104E-5</v>
      </c>
      <c r="E7" s="15">
        <f>'Results Biogas - membrane (GF)'!D28</f>
        <v>4.96163152000104E-5</v>
      </c>
      <c r="F7" s="15">
        <f>'Results SimaPro (GF)'!D28</f>
        <v>5.3426441200010397E-5</v>
      </c>
      <c r="H7" s="15">
        <f t="shared" si="1"/>
        <v>5.3426441200010397E-5</v>
      </c>
      <c r="I7" s="15" t="s">
        <v>635</v>
      </c>
      <c r="J7" s="180">
        <f t="shared" si="2"/>
        <v>0.92381813370718757</v>
      </c>
      <c r="K7" s="180">
        <f t="shared" si="0"/>
        <v>0.92868463789799915</v>
      </c>
      <c r="L7" s="180">
        <f t="shared" si="0"/>
        <v>1</v>
      </c>
    </row>
    <row r="8" spans="1:12" ht="18" x14ac:dyDescent="0.25">
      <c r="B8" s="123" t="s">
        <v>559</v>
      </c>
      <c r="C8" s="11" t="s">
        <v>560</v>
      </c>
      <c r="D8" s="15">
        <f>'Results Flue gas - membran (GF)'!D29</f>
        <v>0.10915912403400001</v>
      </c>
      <c r="E8" s="15">
        <f>'Results Biogas - membrane (GF)'!D29</f>
        <v>0.10937912403400002</v>
      </c>
      <c r="F8" s="15">
        <f>'Results SimaPro (GF)'!D29</f>
        <v>0.11923509403400001</v>
      </c>
      <c r="H8" s="15">
        <f t="shared" si="1"/>
        <v>0.11923509403400001</v>
      </c>
      <c r="I8" s="15" t="s">
        <v>635</v>
      </c>
      <c r="J8" s="180">
        <f t="shared" si="2"/>
        <v>0.91549492972994317</v>
      </c>
      <c r="K8" s="180">
        <f t="shared" si="0"/>
        <v>0.91734002409400084</v>
      </c>
      <c r="L8" s="180">
        <f t="shared" si="0"/>
        <v>1</v>
      </c>
    </row>
    <row r="9" spans="1:12" x14ac:dyDescent="0.25">
      <c r="B9" s="123" t="s">
        <v>561</v>
      </c>
      <c r="C9" s="11" t="s">
        <v>562</v>
      </c>
      <c r="D9" s="15">
        <f>'Results Flue gas - membran (GF)'!D30</f>
        <v>24843.3419006392</v>
      </c>
      <c r="E9" s="15">
        <f>'Results Biogas - membrane (GF)'!D30</f>
        <v>24953.3419006392</v>
      </c>
      <c r="F9" s="15">
        <f>'Results SimaPro (GF)'!D30</f>
        <v>28219.7947725392</v>
      </c>
      <c r="H9" s="15">
        <f t="shared" si="1"/>
        <v>28219.7947725392</v>
      </c>
      <c r="I9" s="15" t="s">
        <v>634</v>
      </c>
      <c r="J9" s="180">
        <f t="shared" si="2"/>
        <v>0.88035161491728353</v>
      </c>
      <c r="K9" s="180">
        <f t="shared" si="0"/>
        <v>0.88424958798500553</v>
      </c>
      <c r="L9" s="180">
        <f t="shared" si="0"/>
        <v>1</v>
      </c>
    </row>
    <row r="10" spans="1:12" x14ac:dyDescent="0.25">
      <c r="B10" s="123" t="s">
        <v>563</v>
      </c>
      <c r="C10" s="11" t="s">
        <v>564</v>
      </c>
      <c r="D10" s="15">
        <f>'Results Flue gas - membran (GF)'!D31</f>
        <v>14109.384438131798</v>
      </c>
      <c r="E10" s="15">
        <f>'Results Biogas - membrane (GF)'!D31</f>
        <v>14133.384438131798</v>
      </c>
      <c r="F10" s="15">
        <f>'Results SimaPro (GF)'!D31</f>
        <v>15180.182959481801</v>
      </c>
      <c r="H10" s="15">
        <f t="shared" si="1"/>
        <v>15180.182959481801</v>
      </c>
      <c r="I10" s="15" t="s">
        <v>635</v>
      </c>
      <c r="J10" s="180">
        <f t="shared" si="2"/>
        <v>0.92946076314046244</v>
      </c>
      <c r="K10" s="180">
        <f t="shared" si="0"/>
        <v>0.93104177175307656</v>
      </c>
      <c r="L10" s="180">
        <f t="shared" si="0"/>
        <v>1</v>
      </c>
    </row>
    <row r="11" spans="1:12" ht="18" x14ac:dyDescent="0.25">
      <c r="B11" s="123" t="s">
        <v>565</v>
      </c>
      <c r="C11" s="11" t="s">
        <v>566</v>
      </c>
      <c r="D11" s="15">
        <f>'Results Flue gas - membran (GF)'!D32</f>
        <v>4.5298305316700009</v>
      </c>
      <c r="E11" s="15">
        <f>'Results Biogas - membrane (GF)'!D32</f>
        <v>4.5688305316700015</v>
      </c>
      <c r="F11" s="15">
        <f>'Results SimaPro (GF)'!D32</f>
        <v>5.0101798416700003</v>
      </c>
      <c r="H11" s="15">
        <f t="shared" si="1"/>
        <v>5.0101798416700003</v>
      </c>
      <c r="I11" s="15" t="s">
        <v>635</v>
      </c>
      <c r="J11" s="180">
        <f t="shared" si="2"/>
        <v>0.90412533578038412</v>
      </c>
      <c r="K11" s="180">
        <f t="shared" si="0"/>
        <v>0.91190948749398837</v>
      </c>
      <c r="L11" s="180">
        <f t="shared" si="0"/>
        <v>1</v>
      </c>
    </row>
    <row r="12" spans="1:12" x14ac:dyDescent="0.25">
      <c r="B12" s="123" t="s">
        <v>567</v>
      </c>
      <c r="C12" s="11" t="s">
        <v>568</v>
      </c>
      <c r="D12" s="15">
        <f>'Results Flue gas - membran (GF)'!D33</f>
        <v>14.626125950000002</v>
      </c>
      <c r="E12" s="15">
        <f>'Results Biogas - membrane (GF)'!D33</f>
        <v>14.653125950000002</v>
      </c>
      <c r="F12" s="15">
        <f>'Results SimaPro (GF)'!D33</f>
        <v>15.700410590000002</v>
      </c>
      <c r="H12" s="15">
        <f t="shared" si="1"/>
        <v>15.700410590000002</v>
      </c>
      <c r="I12" s="15" t="s">
        <v>633</v>
      </c>
      <c r="J12" s="180">
        <f t="shared" si="2"/>
        <v>0.93157601619130648</v>
      </c>
      <c r="K12" s="180">
        <f t="shared" si="0"/>
        <v>0.93329571644024112</v>
      </c>
      <c r="L12" s="180">
        <f t="shared" si="0"/>
        <v>1</v>
      </c>
    </row>
    <row r="13" spans="1:12" ht="18" x14ac:dyDescent="0.25">
      <c r="B13" s="123" t="s">
        <v>569</v>
      </c>
      <c r="C13" s="11" t="s">
        <v>566</v>
      </c>
      <c r="D13" s="15">
        <f>'Results Flue gas - membran (GF)'!D34</f>
        <v>1.4822749482399997</v>
      </c>
      <c r="E13" s="15">
        <f>'Results Biogas - membrane (GF)'!D34</f>
        <v>1.4962749482399997</v>
      </c>
      <c r="F13" s="15">
        <f>'Results SimaPro (GF)'!D34</f>
        <v>1.6629071982399999</v>
      </c>
      <c r="H13" s="15">
        <f t="shared" si="1"/>
        <v>1.6629071982399999</v>
      </c>
      <c r="I13" s="15" t="s">
        <v>635</v>
      </c>
      <c r="J13" s="180">
        <f t="shared" si="2"/>
        <v>0.89137562806199944</v>
      </c>
      <c r="K13" s="180">
        <f t="shared" si="0"/>
        <v>0.89979461861951071</v>
      </c>
      <c r="L13" s="180">
        <f t="shared" si="0"/>
        <v>1</v>
      </c>
    </row>
    <row r="14" spans="1:12" ht="18" x14ac:dyDescent="0.25">
      <c r="B14" s="123" t="s">
        <v>570</v>
      </c>
      <c r="C14" s="11" t="s">
        <v>571</v>
      </c>
      <c r="D14" s="15">
        <f>'Results Flue gas - membran (GF)'!D35</f>
        <v>0.12179439269999999</v>
      </c>
      <c r="E14" s="15">
        <f>'Results Biogas - membrane (GF)'!D35</f>
        <v>0.12204439269999999</v>
      </c>
      <c r="F14" s="15">
        <f>'Results SimaPro (GF)'!D35</f>
        <v>0.14439479899999996</v>
      </c>
      <c r="H14" s="15">
        <f t="shared" si="1"/>
        <v>0.14439479899999996</v>
      </c>
      <c r="I14" s="15" t="s">
        <v>633</v>
      </c>
      <c r="J14" s="180">
        <f t="shared" si="2"/>
        <v>0.84348185352576321</v>
      </c>
      <c r="K14" s="180">
        <f t="shared" si="0"/>
        <v>0.84521321782511027</v>
      </c>
      <c r="L14" s="180">
        <f t="shared" si="0"/>
        <v>1</v>
      </c>
    </row>
    <row r="15" spans="1:12" ht="18" x14ac:dyDescent="0.25">
      <c r="B15" s="171" t="s">
        <v>572</v>
      </c>
      <c r="C15" s="161" t="s">
        <v>573</v>
      </c>
      <c r="D15" s="185">
        <f>'Results Flue gas - membran (GF)'!D36</f>
        <v>323.74502739454198</v>
      </c>
      <c r="E15" s="185">
        <f>'Results Biogas - membrane (GF)'!D36</f>
        <v>325.74502739454198</v>
      </c>
      <c r="F15" s="185">
        <f>'Results SimaPro (GF)'!D36</f>
        <v>381.65437635454208</v>
      </c>
      <c r="H15" s="15">
        <f t="shared" si="1"/>
        <v>381.65437635454208</v>
      </c>
      <c r="I15" s="15" t="s">
        <v>633</v>
      </c>
      <c r="J15" s="180">
        <f t="shared" si="2"/>
        <v>0.84826756209863408</v>
      </c>
      <c r="K15" s="180">
        <f t="shared" si="0"/>
        <v>0.85350790551904354</v>
      </c>
      <c r="L15" s="180">
        <f t="shared" si="0"/>
        <v>1</v>
      </c>
    </row>
    <row r="16" spans="1:12" x14ac:dyDescent="0.25">
      <c r="B16" s="123" t="s">
        <v>574</v>
      </c>
      <c r="C16" s="11" t="s">
        <v>575</v>
      </c>
      <c r="D16" s="15">
        <f>'Results Flue gas - membran (GF)'!D37</f>
        <v>5438.6106436200007</v>
      </c>
      <c r="E16" s="15">
        <f>'Results Biogas - membrane (GF)'!D37</f>
        <v>5477.6106436200007</v>
      </c>
      <c r="F16" s="15">
        <f>'Results SimaPro (GF)'!D37</f>
        <v>6248.3314473199989</v>
      </c>
      <c r="H16" s="15">
        <f t="shared" si="1"/>
        <v>6248.3314473199989</v>
      </c>
      <c r="I16" s="15" t="s">
        <v>635</v>
      </c>
      <c r="J16" s="180">
        <f t="shared" si="2"/>
        <v>0.87041007498933187</v>
      </c>
      <c r="K16" s="180">
        <f t="shared" si="0"/>
        <v>0.87665174131718449</v>
      </c>
      <c r="L16" s="180">
        <f t="shared" si="0"/>
        <v>1</v>
      </c>
    </row>
    <row r="17" spans="1:12" x14ac:dyDescent="0.25">
      <c r="B17" s="123" t="s">
        <v>576</v>
      </c>
      <c r="C17" s="11" t="s">
        <v>577</v>
      </c>
      <c r="D17" s="15">
        <f>'Results Flue gas - membran (GF)'!D38</f>
        <v>10.73626878</v>
      </c>
      <c r="E17" s="15">
        <f>'Results Biogas - membrane (GF)'!D38</f>
        <v>10.75826878</v>
      </c>
      <c r="F17" s="15">
        <f>'Results SimaPro (GF)'!D38</f>
        <v>18.099492040000001</v>
      </c>
      <c r="H17" s="15">
        <f t="shared" si="1"/>
        <v>18.099492040000001</v>
      </c>
      <c r="I17" s="15" t="s">
        <v>633</v>
      </c>
      <c r="J17" s="180">
        <f>D17/$H17</f>
        <v>0.59318066806917968</v>
      </c>
      <c r="K17" s="180">
        <f t="shared" si="0"/>
        <v>0.59439617179444326</v>
      </c>
      <c r="L17" s="180">
        <f t="shared" si="0"/>
        <v>1</v>
      </c>
    </row>
    <row r="20" spans="1:12" ht="29.1" customHeight="1" x14ac:dyDescent="0.25">
      <c r="B20" s="162" t="s">
        <v>612</v>
      </c>
      <c r="C20" s="162" t="s">
        <v>337</v>
      </c>
      <c r="D20" s="162" t="s">
        <v>639</v>
      </c>
      <c r="E20" s="162" t="s">
        <v>640</v>
      </c>
      <c r="F20" s="162" t="s">
        <v>633</v>
      </c>
      <c r="H20" s="288" t="s">
        <v>601</v>
      </c>
      <c r="I20" s="289"/>
      <c r="J20" s="162" t="s">
        <v>639</v>
      </c>
      <c r="K20" s="162" t="s">
        <v>640</v>
      </c>
      <c r="L20" s="162" t="s">
        <v>633</v>
      </c>
    </row>
    <row r="21" spans="1:12" x14ac:dyDescent="0.25">
      <c r="B21" s="123" t="s">
        <v>588</v>
      </c>
      <c r="C21" s="11" t="s">
        <v>589</v>
      </c>
      <c r="D21" s="178">
        <f>'Results Flue gas - membran (GF)'!D111</f>
        <v>2.4366661462789997E-4</v>
      </c>
      <c r="E21" s="178">
        <f>'Results Biogas - membrane (GF)'!D111</f>
        <v>2.4556661462789997E-4</v>
      </c>
      <c r="F21" s="178">
        <f>'Results SimaPro (GF)'!D111</f>
        <v>2.7292673462790001E-4</v>
      </c>
      <c r="H21" s="178">
        <f t="shared" ref="H21:H24" si="3">MAX(D21:F21)</f>
        <v>2.7292673462790001E-4</v>
      </c>
      <c r="I21" s="15" t="s">
        <v>634</v>
      </c>
      <c r="J21" s="180">
        <f>D21/$H21</f>
        <v>0.89279130151946307</v>
      </c>
      <c r="K21" s="180">
        <f t="shared" ref="K21:L24" si="4">E21/$H21</f>
        <v>0.89975287676635274</v>
      </c>
      <c r="L21" s="180">
        <f t="shared" si="4"/>
        <v>1</v>
      </c>
    </row>
    <row r="22" spans="1:12" ht="17.25" x14ac:dyDescent="0.25">
      <c r="B22" s="123" t="s">
        <v>590</v>
      </c>
      <c r="C22" s="11" t="s">
        <v>591</v>
      </c>
      <c r="D22" s="15">
        <f>'Results Flue gas - membran (GF)'!D112</f>
        <v>133.1592256134</v>
      </c>
      <c r="E22" s="15">
        <f>'Results Biogas - membrane (GF)'!D112</f>
        <v>133.42922561340001</v>
      </c>
      <c r="F22" s="15">
        <f>'Results SimaPro (GF)'!D112</f>
        <v>143.4720554834</v>
      </c>
      <c r="H22" s="15">
        <f t="shared" si="3"/>
        <v>143.4720554834</v>
      </c>
      <c r="I22" s="15" t="s">
        <v>635</v>
      </c>
      <c r="J22" s="180">
        <f t="shared" ref="J22:J24" si="5">D22/$H22</f>
        <v>0.92811959210277561</v>
      </c>
      <c r="K22" s="180">
        <f t="shared" si="4"/>
        <v>0.93000149167611268</v>
      </c>
      <c r="L22" s="180">
        <f t="shared" si="4"/>
        <v>1</v>
      </c>
    </row>
    <row r="23" spans="1:12" ht="18" x14ac:dyDescent="0.25">
      <c r="B23" s="171" t="s">
        <v>592</v>
      </c>
      <c r="C23" s="161" t="s">
        <v>573</v>
      </c>
      <c r="D23" s="185">
        <f>'Results Flue gas - membran (GF)'!D113</f>
        <v>323.74502739454198</v>
      </c>
      <c r="E23" s="185">
        <f>'Results Biogas - membrane (GF)'!D113</f>
        <v>325.74502739454198</v>
      </c>
      <c r="F23" s="185">
        <f>'Results SimaPro (GF)'!D113</f>
        <v>381.65437635454208</v>
      </c>
      <c r="H23" s="15">
        <f t="shared" si="3"/>
        <v>381.65437635454208</v>
      </c>
      <c r="I23" s="15" t="s">
        <v>633</v>
      </c>
      <c r="J23" s="180">
        <f t="shared" si="5"/>
        <v>0.84826756209863408</v>
      </c>
      <c r="K23" s="180">
        <f t="shared" si="4"/>
        <v>0.85350790551904354</v>
      </c>
      <c r="L23" s="180">
        <f t="shared" si="4"/>
        <v>1</v>
      </c>
    </row>
    <row r="24" spans="1:12" x14ac:dyDescent="0.25">
      <c r="B24" s="123" t="s">
        <v>593</v>
      </c>
      <c r="C24" s="11" t="s">
        <v>575</v>
      </c>
      <c r="D24" s="15">
        <f>'Results Flue gas - membran (GF)'!D114</f>
        <v>5445.5989115099992</v>
      </c>
      <c r="E24" s="15">
        <f>'Results Biogas - membrane (GF)'!D114</f>
        <v>5485.5989115099992</v>
      </c>
      <c r="F24" s="15">
        <f>'Results SimaPro (GF)'!D114</f>
        <v>6262.9209431099989</v>
      </c>
      <c r="H24" s="15">
        <f t="shared" si="3"/>
        <v>6262.9209431099989</v>
      </c>
      <c r="I24" s="15" t="s">
        <v>635</v>
      </c>
      <c r="J24" s="180">
        <f t="shared" si="5"/>
        <v>0.86949826781716655</v>
      </c>
      <c r="K24" s="180">
        <f t="shared" si="4"/>
        <v>0.87588506406820421</v>
      </c>
      <c r="L24" s="180">
        <f t="shared" si="4"/>
        <v>1</v>
      </c>
    </row>
    <row r="30" spans="1:12" s="196" customFormat="1" x14ac:dyDescent="0.25"/>
    <row r="32" spans="1:12" x14ac:dyDescent="0.25">
      <c r="A32" s="175" t="s">
        <v>613</v>
      </c>
      <c r="D32" s="195" t="s">
        <v>638</v>
      </c>
      <c r="E32" s="195" t="s">
        <v>637</v>
      </c>
      <c r="F32" s="195"/>
      <c r="J32" s="195" t="s">
        <v>638</v>
      </c>
      <c r="K32" s="195" t="s">
        <v>637</v>
      </c>
      <c r="L32" s="195"/>
    </row>
    <row r="33" spans="2:12" ht="30" customHeight="1" x14ac:dyDescent="0.25">
      <c r="B33" s="162" t="s">
        <v>614</v>
      </c>
      <c r="C33" s="162" t="s">
        <v>337</v>
      </c>
      <c r="D33" s="162" t="s">
        <v>639</v>
      </c>
      <c r="E33" s="162" t="s">
        <v>640</v>
      </c>
      <c r="F33" s="162" t="s">
        <v>633</v>
      </c>
      <c r="H33" s="288" t="s">
        <v>601</v>
      </c>
      <c r="I33" s="289"/>
      <c r="J33" s="162" t="s">
        <v>639</v>
      </c>
      <c r="K33" s="162" t="s">
        <v>640</v>
      </c>
      <c r="L33" s="162" t="s">
        <v>633</v>
      </c>
    </row>
    <row r="34" spans="2:12" ht="18" x14ac:dyDescent="0.25">
      <c r="B34" s="123" t="s">
        <v>550</v>
      </c>
      <c r="C34" s="11" t="s">
        <v>551</v>
      </c>
      <c r="D34" s="15">
        <f>'Results Flue gas - membran (GF)'!D5</f>
        <v>3.9640000765000001</v>
      </c>
      <c r="E34" s="15">
        <f>'Results Biogas - membrane (GF)'!D5</f>
        <v>3.9940000765000003</v>
      </c>
      <c r="F34" s="15">
        <f>'Results SimaPro (GF)'!D5</f>
        <v>4.6240000765000007</v>
      </c>
      <c r="H34" s="15">
        <f>MAX(D34:F34)</f>
        <v>4.6240000765000007</v>
      </c>
      <c r="I34" s="15" t="s">
        <v>634</v>
      </c>
      <c r="J34" s="180">
        <f>D34/$H34</f>
        <v>0.85726643834755989</v>
      </c>
      <c r="K34" s="180">
        <f t="shared" ref="K34:L48" si="6">E34/$H34</f>
        <v>0.86375432751357994</v>
      </c>
      <c r="L34" s="180">
        <f t="shared" si="6"/>
        <v>1</v>
      </c>
    </row>
    <row r="35" spans="2:12" ht="18" x14ac:dyDescent="0.25">
      <c r="B35" s="123" t="s">
        <v>552</v>
      </c>
      <c r="C35" s="11" t="s">
        <v>551</v>
      </c>
      <c r="D35" s="15">
        <f>'Results Flue gas - membran (GF)'!D6</f>
        <v>7.4860016399999996</v>
      </c>
      <c r="E35" s="15">
        <f>'Results Biogas - membrane (GF)'!D6</f>
        <v>7.4860016399999996</v>
      </c>
      <c r="F35" s="15">
        <f>'Results SimaPro (GF)'!D6</f>
        <v>7.9860016399999996</v>
      </c>
      <c r="H35" s="15">
        <f t="shared" ref="H35:H48" si="7">MAX(D35:F35)</f>
        <v>7.9860016399999996</v>
      </c>
      <c r="I35" s="15" t="s">
        <v>633</v>
      </c>
      <c r="J35" s="180">
        <f t="shared" ref="J35:J48" si="8">D35/$H35</f>
        <v>0.93739044611566091</v>
      </c>
      <c r="K35" s="180">
        <f t="shared" si="6"/>
        <v>0.93739044611566091</v>
      </c>
      <c r="L35" s="180">
        <f t="shared" si="6"/>
        <v>1</v>
      </c>
    </row>
    <row r="36" spans="2:12" x14ac:dyDescent="0.25">
      <c r="B36" s="123" t="s">
        <v>553</v>
      </c>
      <c r="C36" s="11" t="s">
        <v>554</v>
      </c>
      <c r="D36" s="15">
        <f>'Results Flue gas - membran (GF)'!D7</f>
        <v>0.26840002200000002</v>
      </c>
      <c r="E36" s="15">
        <f>'Results Biogas - membrane (GF)'!D7</f>
        <v>0.27140002200000002</v>
      </c>
      <c r="F36" s="15">
        <f>'Results SimaPro (GF)'!D7</f>
        <v>0.30040002199999999</v>
      </c>
      <c r="H36" s="15">
        <f t="shared" si="7"/>
        <v>0.30040002199999999</v>
      </c>
      <c r="I36" s="15" t="s">
        <v>635</v>
      </c>
      <c r="J36" s="180">
        <f t="shared" si="8"/>
        <v>0.8934753739798329</v>
      </c>
      <c r="K36" s="180">
        <f t="shared" si="6"/>
        <v>0.90346205766922361</v>
      </c>
      <c r="L36" s="180">
        <f t="shared" si="6"/>
        <v>1</v>
      </c>
    </row>
    <row r="37" spans="2:12" x14ac:dyDescent="0.25">
      <c r="B37" s="123" t="s">
        <v>555</v>
      </c>
      <c r="C37" s="11" t="s">
        <v>556</v>
      </c>
      <c r="D37" s="15">
        <f>'Results Flue gas - membran (GF)'!D8</f>
        <v>5452.0150000000003</v>
      </c>
      <c r="E37" s="15">
        <f>'Results Biogas - membrane (GF)'!D8</f>
        <v>5532.0150000000003</v>
      </c>
      <c r="F37" s="15">
        <f>'Results SimaPro (GF)'!D8</f>
        <v>6222.0150000000003</v>
      </c>
      <c r="H37" s="15">
        <f t="shared" si="7"/>
        <v>6222.0150000000003</v>
      </c>
      <c r="I37" s="15" t="s">
        <v>635</v>
      </c>
      <c r="J37" s="180">
        <f t="shared" si="8"/>
        <v>0.87624587854577662</v>
      </c>
      <c r="K37" s="180">
        <f t="shared" si="6"/>
        <v>0.88910344960595566</v>
      </c>
      <c r="L37" s="180">
        <f t="shared" si="6"/>
        <v>1</v>
      </c>
    </row>
    <row r="38" spans="2:12" x14ac:dyDescent="0.25">
      <c r="B38" s="123" t="s">
        <v>557</v>
      </c>
      <c r="C38" s="11" t="s">
        <v>558</v>
      </c>
      <c r="D38" s="15">
        <f>'Results Flue gas - membran (GF)'!D9</f>
        <v>4.6350000000054402E-5</v>
      </c>
      <c r="E38" s="15">
        <f>'Results Biogas - membrane (GF)'!D9</f>
        <v>4.6650000000054402E-5</v>
      </c>
      <c r="F38" s="15">
        <f>'Results SimaPro (GF)'!D9</f>
        <v>4.9950000000054401E-5</v>
      </c>
      <c r="H38" s="15">
        <f t="shared" si="7"/>
        <v>4.9950000000054401E-5</v>
      </c>
      <c r="I38" s="15" t="s">
        <v>635</v>
      </c>
      <c r="J38" s="180">
        <f t="shared" si="8"/>
        <v>0.92792792792800638</v>
      </c>
      <c r="K38" s="180">
        <f t="shared" si="6"/>
        <v>0.93393393393400592</v>
      </c>
      <c r="L38" s="180">
        <f t="shared" si="6"/>
        <v>1</v>
      </c>
    </row>
    <row r="39" spans="2:12" ht="18" x14ac:dyDescent="0.25">
      <c r="B39" s="123" t="s">
        <v>559</v>
      </c>
      <c r="C39" s="11" t="s">
        <v>560</v>
      </c>
      <c r="D39" s="15">
        <f>'Results Flue gas - membran (GF)'!D10</f>
        <v>0.10343038700000001</v>
      </c>
      <c r="E39" s="15">
        <f>'Results Biogas - membrane (GF)'!D10</f>
        <v>0.103630387</v>
      </c>
      <c r="F39" s="15">
        <f>'Results SimaPro (GF)'!D10</f>
        <v>0.112330387</v>
      </c>
      <c r="H39" s="15">
        <f t="shared" si="7"/>
        <v>0.112330387</v>
      </c>
      <c r="I39" s="15" t="s">
        <v>635</v>
      </c>
      <c r="J39" s="180">
        <f t="shared" si="8"/>
        <v>0.92076943525530641</v>
      </c>
      <c r="K39" s="180">
        <f t="shared" si="6"/>
        <v>0.92254989738440052</v>
      </c>
      <c r="L39" s="180">
        <f t="shared" si="6"/>
        <v>1</v>
      </c>
    </row>
    <row r="40" spans="2:12" x14ac:dyDescent="0.25">
      <c r="B40" s="123" t="s">
        <v>561</v>
      </c>
      <c r="C40" s="11" t="s">
        <v>562</v>
      </c>
      <c r="D40" s="15">
        <f>'Results Flue gas - membran (GF)'!D11</f>
        <v>23300.698</v>
      </c>
      <c r="E40" s="15">
        <f>'Results Biogas - membrane (GF)'!D11</f>
        <v>23400.698</v>
      </c>
      <c r="F40" s="15">
        <f>'Results SimaPro (GF)'!D11</f>
        <v>26200.698</v>
      </c>
      <c r="H40" s="15">
        <f t="shared" si="7"/>
        <v>26200.698</v>
      </c>
      <c r="I40" s="15" t="s">
        <v>634</v>
      </c>
      <c r="J40" s="180">
        <f t="shared" si="8"/>
        <v>0.88931592585815844</v>
      </c>
      <c r="K40" s="180">
        <f t="shared" si="6"/>
        <v>0.89313261806994604</v>
      </c>
      <c r="L40" s="180">
        <f t="shared" si="6"/>
        <v>1</v>
      </c>
    </row>
    <row r="41" spans="2:12" x14ac:dyDescent="0.25">
      <c r="B41" s="123" t="s">
        <v>563</v>
      </c>
      <c r="C41" s="11" t="s">
        <v>564</v>
      </c>
      <c r="D41" s="15">
        <f>'Results Flue gas - membran (GF)'!D12</f>
        <v>13490.000147000001</v>
      </c>
      <c r="E41" s="15">
        <f>'Results Biogas - membrane (GF)'!D12</f>
        <v>13490.000147000001</v>
      </c>
      <c r="F41" s="15">
        <f>'Results SimaPro (GF)'!D12</f>
        <v>14390.000147000001</v>
      </c>
      <c r="H41" s="15">
        <f t="shared" si="7"/>
        <v>14390.000147000001</v>
      </c>
      <c r="I41" s="15" t="s">
        <v>635</v>
      </c>
      <c r="J41" s="180">
        <f t="shared" si="8"/>
        <v>0.93745656769936658</v>
      </c>
      <c r="K41" s="180">
        <f t="shared" si="6"/>
        <v>0.93745656769936658</v>
      </c>
      <c r="L41" s="180">
        <f t="shared" si="6"/>
        <v>1</v>
      </c>
    </row>
    <row r="42" spans="2:12" ht="18" x14ac:dyDescent="0.25">
      <c r="B42" s="123" t="s">
        <v>565</v>
      </c>
      <c r="C42" s="11" t="s">
        <v>566</v>
      </c>
      <c r="D42" s="15">
        <f>'Results Flue gas - membran (GF)'!D13</f>
        <v>4.1100009499999999</v>
      </c>
      <c r="E42" s="15">
        <f>'Results Biogas - membrane (GF)'!D13</f>
        <v>4.1400009500000001</v>
      </c>
      <c r="F42" s="15">
        <f>'Results SimaPro (GF)'!D13</f>
        <v>4.5300009500000007</v>
      </c>
      <c r="H42" s="15">
        <f t="shared" si="7"/>
        <v>4.5300009500000007</v>
      </c>
      <c r="I42" s="15" t="s">
        <v>635</v>
      </c>
      <c r="J42" s="180">
        <f t="shared" si="8"/>
        <v>0.90728478765550791</v>
      </c>
      <c r="K42" s="180">
        <f t="shared" si="6"/>
        <v>0.91390730282297172</v>
      </c>
      <c r="L42" s="180">
        <f t="shared" si="6"/>
        <v>1</v>
      </c>
    </row>
    <row r="43" spans="2:12" x14ac:dyDescent="0.25">
      <c r="B43" s="123" t="s">
        <v>567</v>
      </c>
      <c r="C43" s="11" t="s">
        <v>568</v>
      </c>
      <c r="D43" s="15">
        <f>'Results Flue gas - membran (GF)'!D14</f>
        <v>13.362</v>
      </c>
      <c r="E43" s="15">
        <f>'Results Biogas - membrane (GF)'!D14</f>
        <v>13.462000000000002</v>
      </c>
      <c r="F43" s="15">
        <f>'Results SimaPro (GF)'!D14</f>
        <v>14.362</v>
      </c>
      <c r="H43" s="15">
        <f t="shared" si="7"/>
        <v>14.362</v>
      </c>
      <c r="I43" s="15" t="s">
        <v>633</v>
      </c>
      <c r="J43" s="180">
        <f t="shared" si="8"/>
        <v>0.93037181451051387</v>
      </c>
      <c r="K43" s="180">
        <f t="shared" si="6"/>
        <v>0.93733463305946252</v>
      </c>
      <c r="L43" s="180">
        <f t="shared" si="6"/>
        <v>1</v>
      </c>
    </row>
    <row r="44" spans="2:12" ht="18" x14ac:dyDescent="0.25">
      <c r="B44" s="123" t="s">
        <v>569</v>
      </c>
      <c r="C44" s="11" t="s">
        <v>566</v>
      </c>
      <c r="D44" s="15">
        <f>'Results Flue gas - membran (GF)'!D15</f>
        <v>1.3346033900000001</v>
      </c>
      <c r="E44" s="15">
        <f>'Results Biogas - membrane (GF)'!D15</f>
        <v>1.3446033900000001</v>
      </c>
      <c r="F44" s="15">
        <f>'Results SimaPro (GF)'!D15</f>
        <v>1.49460339</v>
      </c>
      <c r="H44" s="15">
        <f t="shared" si="7"/>
        <v>1.49460339</v>
      </c>
      <c r="I44" s="15" t="s">
        <v>635</v>
      </c>
      <c r="J44" s="180">
        <f t="shared" si="8"/>
        <v>0.89294818874992654</v>
      </c>
      <c r="K44" s="180">
        <f t="shared" si="6"/>
        <v>0.89963892695305614</v>
      </c>
      <c r="L44" s="180">
        <f t="shared" si="6"/>
        <v>1</v>
      </c>
    </row>
    <row r="45" spans="2:12" ht="18" x14ac:dyDescent="0.25">
      <c r="B45" s="123" t="s">
        <v>570</v>
      </c>
      <c r="C45" s="11" t="s">
        <v>571</v>
      </c>
      <c r="D45" s="15">
        <f>'Results Flue gas - membran (GF)'!D16</f>
        <v>0.10822</v>
      </c>
      <c r="E45" s="15">
        <f>'Results Biogas - membrane (GF)'!D16</f>
        <v>0.10822</v>
      </c>
      <c r="F45" s="15">
        <f>'Results SimaPro (GF)'!D16</f>
        <v>0.12822</v>
      </c>
      <c r="H45" s="15">
        <f t="shared" si="7"/>
        <v>0.12822</v>
      </c>
      <c r="I45" s="15" t="s">
        <v>633</v>
      </c>
      <c r="J45" s="180">
        <f t="shared" si="8"/>
        <v>0.84401809390110749</v>
      </c>
      <c r="K45" s="180">
        <f t="shared" si="6"/>
        <v>0.84401809390110749</v>
      </c>
      <c r="L45" s="180">
        <f t="shared" si="6"/>
        <v>1</v>
      </c>
    </row>
    <row r="46" spans="2:12" ht="18" x14ac:dyDescent="0.25">
      <c r="B46" s="171" t="s">
        <v>572</v>
      </c>
      <c r="C46" s="161" t="s">
        <v>573</v>
      </c>
      <c r="D46" s="185">
        <f>'Results Flue gas - membran (GF)'!D17</f>
        <v>300.10000002370003</v>
      </c>
      <c r="E46" s="185">
        <f>'Results Biogas - membrane (GF)'!D17</f>
        <v>302.10000002370003</v>
      </c>
      <c r="F46" s="185">
        <f>'Results SimaPro (GF)'!D17</f>
        <v>350.10000002370003</v>
      </c>
      <c r="H46" s="15">
        <f t="shared" si="7"/>
        <v>350.10000002370003</v>
      </c>
      <c r="I46" s="15" t="s">
        <v>633</v>
      </c>
      <c r="J46" s="180">
        <f t="shared" si="8"/>
        <v>0.85718366182057915</v>
      </c>
      <c r="K46" s="180">
        <f t="shared" si="6"/>
        <v>0.86289631534775602</v>
      </c>
      <c r="L46" s="180">
        <f t="shared" si="6"/>
        <v>1</v>
      </c>
    </row>
    <row r="47" spans="2:12" x14ac:dyDescent="0.25">
      <c r="B47" s="123" t="s">
        <v>574</v>
      </c>
      <c r="C47" s="11" t="s">
        <v>575</v>
      </c>
      <c r="D47" s="15">
        <f>'Results Flue gas - membran (GF)'!D18</f>
        <v>5038.03</v>
      </c>
      <c r="E47" s="15">
        <f>'Results Biogas - membrane (GF)'!D18</f>
        <v>5068.03</v>
      </c>
      <c r="F47" s="15">
        <f>'Results SimaPro (GF)'!D18</f>
        <v>5738.03</v>
      </c>
      <c r="H47" s="15">
        <f t="shared" si="7"/>
        <v>5738.03</v>
      </c>
      <c r="I47" s="15" t="s">
        <v>635</v>
      </c>
      <c r="J47" s="180">
        <f t="shared" si="8"/>
        <v>0.87800691177982682</v>
      </c>
      <c r="K47" s="180">
        <f t="shared" si="6"/>
        <v>0.88323518698926284</v>
      </c>
      <c r="L47" s="180">
        <f t="shared" si="6"/>
        <v>1</v>
      </c>
    </row>
    <row r="48" spans="2:12" x14ac:dyDescent="0.25">
      <c r="B48" s="123" t="s">
        <v>576</v>
      </c>
      <c r="C48" s="11" t="s">
        <v>577</v>
      </c>
      <c r="D48" s="15">
        <f>'Results Flue gas - membran (GF)'!D19</f>
        <v>9.8469999999999978</v>
      </c>
      <c r="E48" s="15">
        <f>'Results Biogas - membrane (GF)'!D19</f>
        <v>9.8569999999999993</v>
      </c>
      <c r="F48" s="15">
        <f>'Results SimaPro (GF)'!D19</f>
        <v>16.286999999999999</v>
      </c>
      <c r="H48" s="15">
        <f t="shared" si="7"/>
        <v>16.286999999999999</v>
      </c>
      <c r="I48" s="15" t="s">
        <v>633</v>
      </c>
      <c r="J48" s="180">
        <f t="shared" si="8"/>
        <v>0.60459261988088653</v>
      </c>
      <c r="K48" s="180">
        <f t="shared" si="6"/>
        <v>0.60520660649597835</v>
      </c>
      <c r="L48" s="180">
        <f t="shared" si="6"/>
        <v>1</v>
      </c>
    </row>
    <row r="51" spans="2:12" ht="29.1" customHeight="1" x14ac:dyDescent="0.25">
      <c r="B51" s="162" t="s">
        <v>614</v>
      </c>
      <c r="C51" s="162" t="s">
        <v>337</v>
      </c>
      <c r="D51" s="162" t="s">
        <v>639</v>
      </c>
      <c r="E51" s="162" t="s">
        <v>640</v>
      </c>
      <c r="F51" s="162" t="s">
        <v>633</v>
      </c>
      <c r="H51" s="288" t="s">
        <v>601</v>
      </c>
      <c r="I51" s="289"/>
      <c r="J51" s="162" t="s">
        <v>639</v>
      </c>
      <c r="K51" s="162" t="s">
        <v>640</v>
      </c>
      <c r="L51" s="162" t="s">
        <v>633</v>
      </c>
    </row>
    <row r="52" spans="2:12" x14ac:dyDescent="0.25">
      <c r="B52" s="123" t="s">
        <v>588</v>
      </c>
      <c r="C52" s="11" t="s">
        <v>589</v>
      </c>
      <c r="D52" s="15">
        <f>'Results Flue gas - membran (GF)'!D103</f>
        <v>2.2134002419999999E-4</v>
      </c>
      <c r="E52" s="15">
        <f>'Results Biogas - membrane (GF)'!D103</f>
        <v>2.2334002419999998E-4</v>
      </c>
      <c r="F52" s="15">
        <f>'Results SimaPro (GF)'!D103</f>
        <v>2.473400242E-4</v>
      </c>
      <c r="H52" s="178">
        <f t="shared" ref="H52:H55" si="9">MAX(D52:F52)</f>
        <v>2.473400242E-4</v>
      </c>
      <c r="I52" s="15" t="s">
        <v>634</v>
      </c>
      <c r="J52" s="180">
        <f t="shared" ref="J52:L55" si="10">D52/$H52</f>
        <v>0.89488154986604063</v>
      </c>
      <c r="K52" s="180">
        <f t="shared" si="10"/>
        <v>0.90296758449172976</v>
      </c>
      <c r="L52" s="180">
        <f t="shared" si="10"/>
        <v>1</v>
      </c>
    </row>
    <row r="53" spans="2:12" ht="17.25" x14ac:dyDescent="0.25">
      <c r="B53" s="123" t="s">
        <v>590</v>
      </c>
      <c r="C53" s="11" t="s">
        <v>591</v>
      </c>
      <c r="D53" s="15">
        <f>'Results Flue gas - membran (GF)'!D104</f>
        <v>126.4000372</v>
      </c>
      <c r="E53" s="15">
        <f>'Results Biogas - membrane (GF)'!D104</f>
        <v>126.4000372</v>
      </c>
      <c r="F53" s="15">
        <f>'Results SimaPro (GF)'!D104</f>
        <v>135.40003719999999</v>
      </c>
      <c r="H53" s="15">
        <f t="shared" si="9"/>
        <v>135.40003719999999</v>
      </c>
      <c r="I53" s="15" t="s">
        <v>635</v>
      </c>
      <c r="J53" s="180">
        <f t="shared" si="10"/>
        <v>0.93353029891191208</v>
      </c>
      <c r="K53" s="180">
        <f t="shared" si="10"/>
        <v>0.93353029891191208</v>
      </c>
      <c r="L53" s="180">
        <f t="shared" si="10"/>
        <v>1</v>
      </c>
    </row>
    <row r="54" spans="2:12" ht="18" x14ac:dyDescent="0.25">
      <c r="B54" s="171" t="s">
        <v>592</v>
      </c>
      <c r="C54" s="161" t="s">
        <v>573</v>
      </c>
      <c r="D54" s="185">
        <f>'Results Flue gas - membran (GF)'!D105</f>
        <v>300.10000002370003</v>
      </c>
      <c r="E54" s="185">
        <f>'Results Biogas - membrane (GF)'!D105</f>
        <v>302.10000002370003</v>
      </c>
      <c r="F54" s="185">
        <f>'Results SimaPro (GF)'!D105</f>
        <v>350.10000002370003</v>
      </c>
      <c r="H54" s="15">
        <f t="shared" si="9"/>
        <v>350.10000002370003</v>
      </c>
      <c r="I54" s="15" t="s">
        <v>633</v>
      </c>
      <c r="J54" s="180">
        <f t="shared" si="10"/>
        <v>0.85718366182057915</v>
      </c>
      <c r="K54" s="180">
        <f t="shared" si="10"/>
        <v>0.86289631534775602</v>
      </c>
      <c r="L54" s="180">
        <f t="shared" si="10"/>
        <v>1</v>
      </c>
    </row>
    <row r="55" spans="2:12" x14ac:dyDescent="0.25">
      <c r="B55" s="123" t="s">
        <v>593</v>
      </c>
      <c r="C55" s="11" t="s">
        <v>575</v>
      </c>
      <c r="D55" s="15">
        <f>'Results Flue gas - membran (GF)'!D106</f>
        <v>5049.1499999999996</v>
      </c>
      <c r="E55" s="15">
        <f>'Results Biogas - membrane (GF)'!D106</f>
        <v>5079.1499999999996</v>
      </c>
      <c r="F55" s="15">
        <f>'Results SimaPro (GF)'!D106</f>
        <v>5759.15</v>
      </c>
      <c r="H55" s="15">
        <f t="shared" si="9"/>
        <v>5759.15</v>
      </c>
      <c r="I55" s="15" t="s">
        <v>635</v>
      </c>
      <c r="J55" s="180">
        <f t="shared" si="10"/>
        <v>0.87671791844282576</v>
      </c>
      <c r="K55" s="180">
        <f t="shared" si="10"/>
        <v>0.88192702048045279</v>
      </c>
      <c r="L55" s="180">
        <f t="shared" si="10"/>
        <v>1</v>
      </c>
    </row>
  </sheetData>
  <mergeCells count="4">
    <mergeCell ref="H2:I2"/>
    <mergeCell ref="H20:I20"/>
    <mergeCell ref="H33:I33"/>
    <mergeCell ref="H51:I5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V78"/>
  <sheetViews>
    <sheetView topLeftCell="A49" zoomScale="70" zoomScaleNormal="70" workbookViewId="0">
      <selection activeCell="C48" sqref="C48"/>
    </sheetView>
  </sheetViews>
  <sheetFormatPr defaultColWidth="11.42578125" defaultRowHeight="15" x14ac:dyDescent="0.25"/>
  <cols>
    <col min="2" max="2" width="17" bestFit="1" customWidth="1"/>
    <col min="3" max="3" width="11.7109375" bestFit="1" customWidth="1"/>
    <col min="4" max="4" width="17.140625" customWidth="1"/>
    <col min="13" max="13" width="19.140625" customWidth="1"/>
    <col min="17" max="17" width="22.140625" customWidth="1"/>
  </cols>
  <sheetData>
    <row r="2" spans="2:21" x14ac:dyDescent="0.25">
      <c r="B2" s="240" t="s">
        <v>372</v>
      </c>
      <c r="C2" s="240"/>
      <c r="D2" s="240"/>
      <c r="E2" s="240"/>
      <c r="F2" s="240"/>
      <c r="G2" s="240"/>
      <c r="H2" s="240"/>
      <c r="M2" s="240" t="s">
        <v>474</v>
      </c>
      <c r="N2" s="240"/>
      <c r="O2" s="240"/>
      <c r="P2" s="240"/>
      <c r="Q2" s="240"/>
      <c r="R2" s="240"/>
      <c r="S2" s="240"/>
    </row>
    <row r="4" spans="2:21" x14ac:dyDescent="0.25">
      <c r="B4" s="39" t="s">
        <v>376</v>
      </c>
      <c r="C4" s="39" t="s">
        <v>373</v>
      </c>
      <c r="D4" s="39" t="s">
        <v>337</v>
      </c>
      <c r="E4" s="219" t="s">
        <v>375</v>
      </c>
      <c r="F4" s="219"/>
      <c r="G4" s="219"/>
      <c r="H4" s="219"/>
      <c r="I4" s="219"/>
      <c r="J4" s="219"/>
      <c r="N4" s="39" t="s">
        <v>270</v>
      </c>
      <c r="O4" s="39" t="s">
        <v>272</v>
      </c>
      <c r="P4" s="39" t="s">
        <v>475</v>
      </c>
      <c r="Q4" s="39" t="s">
        <v>486</v>
      </c>
      <c r="S4" s="39" t="s">
        <v>213</v>
      </c>
    </row>
    <row r="5" spans="2:21" ht="17.25" x14ac:dyDescent="0.25">
      <c r="B5" s="120" t="s">
        <v>377</v>
      </c>
      <c r="C5" s="3">
        <v>2200</v>
      </c>
      <c r="D5" s="3" t="s">
        <v>380</v>
      </c>
      <c r="E5" s="211" t="s">
        <v>358</v>
      </c>
      <c r="F5" s="211"/>
      <c r="G5" s="211"/>
      <c r="H5" s="211"/>
      <c r="I5" s="211"/>
      <c r="J5" s="211"/>
      <c r="M5" s="120" t="s">
        <v>473</v>
      </c>
      <c r="N5" s="3">
        <f>'Scenario 2'!O157</f>
        <v>12</v>
      </c>
      <c r="O5" s="3">
        <f>'Scenario 2'!O158</f>
        <v>24</v>
      </c>
      <c r="P5" s="3">
        <f>'Scenario 2'!O159</f>
        <v>60</v>
      </c>
      <c r="Q5" s="163">
        <f>P5/P6</f>
        <v>6.8849436890129845E-2</v>
      </c>
      <c r="R5" s="164">
        <f>Q5*1000</f>
        <v>68.849436890129851</v>
      </c>
      <c r="S5" s="19">
        <f>S6*Q5</f>
        <v>348.77524111398014</v>
      </c>
    </row>
    <row r="6" spans="2:21" ht="17.25" x14ac:dyDescent="0.25">
      <c r="B6" s="120" t="s">
        <v>378</v>
      </c>
      <c r="C6" s="3">
        <v>2490</v>
      </c>
      <c r="D6" s="3" t="s">
        <v>380</v>
      </c>
      <c r="E6" s="246" t="s">
        <v>379</v>
      </c>
      <c r="F6" s="211"/>
      <c r="G6" s="211"/>
      <c r="H6" s="211"/>
      <c r="I6" s="211"/>
      <c r="J6" s="211"/>
      <c r="M6" s="120" t="s">
        <v>334</v>
      </c>
      <c r="N6" s="19">
        <f>'Scenario 2'!N157</f>
        <v>0.82820767099518766</v>
      </c>
      <c r="O6" s="19">
        <f>'Scenario 2'!N158</f>
        <v>1.6523862478082061</v>
      </c>
      <c r="P6" s="19">
        <f>'Scenario 2'!N159</f>
        <v>871.46682253550148</v>
      </c>
      <c r="Q6" s="163">
        <f>P6/P6</f>
        <v>1</v>
      </c>
      <c r="S6" s="19">
        <f>'Scenario 2'!N20*1000</f>
        <v>5065.7675192108954</v>
      </c>
    </row>
    <row r="8" spans="2:21" x14ac:dyDescent="0.25">
      <c r="B8" s="39" t="s">
        <v>316</v>
      </c>
      <c r="C8" s="39" t="s">
        <v>374</v>
      </c>
      <c r="D8" s="39" t="s">
        <v>337</v>
      </c>
      <c r="E8" s="219" t="s">
        <v>375</v>
      </c>
      <c r="F8" s="219"/>
      <c r="G8" s="219"/>
      <c r="H8" s="219"/>
      <c r="I8" s="219"/>
      <c r="J8" s="219"/>
      <c r="M8" s="245" t="s">
        <v>514</v>
      </c>
      <c r="N8" s="116">
        <f>((N5/100)*P5)/(P6)</f>
        <v>8.2619324268155808E-3</v>
      </c>
      <c r="O8" s="3" t="s">
        <v>476</v>
      </c>
      <c r="Q8" s="245" t="s">
        <v>515</v>
      </c>
      <c r="R8" s="116">
        <f>((O5/100)*P5)/(P6)</f>
        <v>1.6523864853631162E-2</v>
      </c>
      <c r="S8" s="3" t="s">
        <v>476</v>
      </c>
      <c r="U8">
        <v>2.78</v>
      </c>
    </row>
    <row r="9" spans="2:21" ht="17.25" x14ac:dyDescent="0.25">
      <c r="B9" s="120" t="s">
        <v>381</v>
      </c>
      <c r="C9" s="19">
        <f>'Scenario 2'!C58</f>
        <v>1133.0794520547929</v>
      </c>
      <c r="D9" s="3" t="s">
        <v>50</v>
      </c>
      <c r="E9" s="229" t="s">
        <v>387</v>
      </c>
      <c r="F9" s="244"/>
      <c r="G9" s="244"/>
      <c r="H9" s="244"/>
      <c r="I9" s="244"/>
      <c r="J9" s="230"/>
      <c r="M9" s="245"/>
      <c r="N9" s="116">
        <f>(N8*1000)*U8</f>
        <v>22.96817214654731</v>
      </c>
      <c r="O9" s="3" t="s">
        <v>380</v>
      </c>
      <c r="Q9" s="245"/>
      <c r="R9" s="116">
        <f>(R8*1000)*U8</f>
        <v>45.936344293094621</v>
      </c>
      <c r="S9" s="3" t="s">
        <v>380</v>
      </c>
      <c r="U9" s="150">
        <f>N9+R9</f>
        <v>68.904516439641924</v>
      </c>
    </row>
    <row r="10" spans="2:21" ht="17.25" x14ac:dyDescent="0.25">
      <c r="B10" s="120" t="s">
        <v>47</v>
      </c>
      <c r="C10" s="19">
        <f>'Scenario 2'!C57</f>
        <v>28326.986301369823</v>
      </c>
      <c r="D10" s="3" t="s">
        <v>48</v>
      </c>
      <c r="E10" s="229" t="s">
        <v>387</v>
      </c>
      <c r="F10" s="244"/>
      <c r="G10" s="244"/>
      <c r="H10" s="244"/>
      <c r="I10" s="244"/>
      <c r="J10" s="230"/>
    </row>
    <row r="11" spans="2:21" ht="16.5" customHeight="1" x14ac:dyDescent="0.25">
      <c r="B11" s="120" t="s">
        <v>389</v>
      </c>
      <c r="C11" s="19">
        <v>4</v>
      </c>
      <c r="D11" s="3" t="s">
        <v>390</v>
      </c>
      <c r="E11" s="229" t="s">
        <v>393</v>
      </c>
      <c r="F11" s="244"/>
      <c r="G11" s="244"/>
      <c r="H11" s="244"/>
      <c r="I11" s="244"/>
      <c r="J11" s="230"/>
      <c r="M11" s="240" t="s">
        <v>483</v>
      </c>
      <c r="N11" s="240"/>
      <c r="O11" s="240"/>
      <c r="P11" s="240"/>
      <c r="Q11" s="240"/>
      <c r="R11" s="240"/>
      <c r="S11" s="240"/>
    </row>
    <row r="12" spans="2:21" x14ac:dyDescent="0.25">
      <c r="B12" s="120" t="s">
        <v>382</v>
      </c>
      <c r="C12" s="160">
        <v>10</v>
      </c>
      <c r="D12" s="3" t="s">
        <v>383</v>
      </c>
      <c r="E12" s="229" t="s">
        <v>509</v>
      </c>
      <c r="F12" s="244"/>
      <c r="G12" s="244"/>
      <c r="H12" s="244"/>
      <c r="I12" s="244"/>
      <c r="J12" s="230"/>
    </row>
    <row r="13" spans="2:21" ht="18.75" x14ac:dyDescent="0.35">
      <c r="B13" s="120" t="s">
        <v>545</v>
      </c>
      <c r="C13" s="155">
        <v>320</v>
      </c>
      <c r="D13" s="3" t="s">
        <v>388</v>
      </c>
      <c r="E13" s="229" t="s">
        <v>544</v>
      </c>
      <c r="F13" s="244"/>
      <c r="G13" s="244"/>
      <c r="H13" s="244"/>
      <c r="I13" s="244"/>
      <c r="J13" s="230"/>
      <c r="M13" s="138" t="s">
        <v>156</v>
      </c>
      <c r="N13" s="3">
        <v>8.4</v>
      </c>
      <c r="O13" s="3" t="s">
        <v>29</v>
      </c>
      <c r="Q13" s="138" t="s">
        <v>156</v>
      </c>
      <c r="R13" s="19">
        <f>N18</f>
        <v>708.17465753424563</v>
      </c>
      <c r="S13" s="3" t="s">
        <v>34</v>
      </c>
    </row>
    <row r="14" spans="2:21" ht="18.75" x14ac:dyDescent="0.35">
      <c r="B14" s="120" t="s">
        <v>385</v>
      </c>
      <c r="C14" s="3">
        <v>570</v>
      </c>
      <c r="D14" s="3" t="s">
        <v>388</v>
      </c>
      <c r="E14" s="243" t="s">
        <v>391</v>
      </c>
      <c r="F14" s="244"/>
      <c r="G14" s="244"/>
      <c r="H14" s="244"/>
      <c r="I14" s="244"/>
      <c r="J14" s="230"/>
      <c r="M14" s="138" t="s">
        <v>441</v>
      </c>
      <c r="N14" s="3">
        <v>71.400000000000006</v>
      </c>
      <c r="O14" s="3" t="s">
        <v>29</v>
      </c>
      <c r="Q14" s="138" t="s">
        <v>441</v>
      </c>
      <c r="R14" s="19">
        <f>$R$17*(N14/100)</f>
        <v>6019.4845890410888</v>
      </c>
      <c r="S14" s="3" t="s">
        <v>34</v>
      </c>
    </row>
    <row r="15" spans="2:21" ht="18.75" x14ac:dyDescent="0.35">
      <c r="B15" s="120" t="s">
        <v>478</v>
      </c>
      <c r="C15" s="3">
        <v>50</v>
      </c>
      <c r="D15" s="3" t="s">
        <v>480</v>
      </c>
      <c r="E15" s="229" t="s">
        <v>479</v>
      </c>
      <c r="F15" s="244"/>
      <c r="G15" s="244"/>
      <c r="H15" s="244"/>
      <c r="I15" s="244"/>
      <c r="J15" s="230"/>
      <c r="M15" s="138" t="s">
        <v>481</v>
      </c>
      <c r="N15" s="3">
        <v>2.5</v>
      </c>
      <c r="O15" s="3" t="s">
        <v>29</v>
      </c>
      <c r="Q15" s="138" t="s">
        <v>481</v>
      </c>
      <c r="R15" s="19">
        <f>$R$17*(N15/100)</f>
        <v>210.76626712328741</v>
      </c>
      <c r="S15" s="3" t="s">
        <v>34</v>
      </c>
    </row>
    <row r="16" spans="2:21" ht="18" x14ac:dyDescent="0.35">
      <c r="M16" s="138" t="s">
        <v>482</v>
      </c>
      <c r="N16" s="3">
        <v>16.7</v>
      </c>
      <c r="O16" s="3" t="s">
        <v>29</v>
      </c>
      <c r="Q16" s="138" t="s">
        <v>482</v>
      </c>
      <c r="R16" s="19">
        <f>$R$17*(N16/100)</f>
        <v>1407.9186643835596</v>
      </c>
      <c r="S16" s="3" t="s">
        <v>34</v>
      </c>
    </row>
    <row r="17" spans="2:22" x14ac:dyDescent="0.25">
      <c r="B17" s="39" t="s">
        <v>386</v>
      </c>
      <c r="C17" s="39" t="s">
        <v>374</v>
      </c>
      <c r="D17" s="39" t="s">
        <v>337</v>
      </c>
      <c r="E17" s="219" t="s">
        <v>375</v>
      </c>
      <c r="F17" s="219"/>
      <c r="G17" s="219"/>
      <c r="H17" s="219"/>
      <c r="I17" s="219"/>
      <c r="J17" s="219"/>
      <c r="M17" s="88"/>
      <c r="Q17" s="138" t="s">
        <v>213</v>
      </c>
      <c r="R17" s="19">
        <f>(R13*100)/N13</f>
        <v>8430.6506849314956</v>
      </c>
      <c r="S17" s="3" t="s">
        <v>34</v>
      </c>
    </row>
    <row r="18" spans="2:22" ht="18" x14ac:dyDescent="0.35">
      <c r="B18" s="233" t="s">
        <v>546</v>
      </c>
      <c r="C18" s="19">
        <f>C10*(C13/1000)</f>
        <v>9064.6356164383433</v>
      </c>
      <c r="D18" s="11" t="s">
        <v>326</v>
      </c>
      <c r="E18" s="229" t="s">
        <v>544</v>
      </c>
      <c r="F18" s="244"/>
      <c r="G18" s="244"/>
      <c r="H18" s="244"/>
      <c r="I18" s="244"/>
      <c r="J18" s="230"/>
      <c r="M18" s="138" t="s">
        <v>484</v>
      </c>
      <c r="N18" s="19">
        <f>('Scenario 2'!C126*'Scenario 2'!I24)</f>
        <v>708.17465753424563</v>
      </c>
      <c r="O18" s="3" t="s">
        <v>34</v>
      </c>
      <c r="Q18" s="242" t="s">
        <v>485</v>
      </c>
      <c r="R18" s="242"/>
      <c r="S18" s="242"/>
    </row>
    <row r="19" spans="2:22" x14ac:dyDescent="0.25">
      <c r="B19" s="234"/>
      <c r="C19" s="19">
        <f>C18/C12</f>
        <v>906.46356164383428</v>
      </c>
      <c r="D19" s="11" t="s">
        <v>499</v>
      </c>
      <c r="E19" s="239" t="s">
        <v>500</v>
      </c>
      <c r="F19" s="239"/>
      <c r="G19" s="239"/>
      <c r="H19" s="239"/>
      <c r="I19" s="239"/>
      <c r="J19" s="239"/>
      <c r="N19" s="117"/>
      <c r="O19" s="6"/>
      <c r="Q19" s="159"/>
      <c r="R19" s="159"/>
      <c r="S19" s="159"/>
    </row>
    <row r="20" spans="2:22" x14ac:dyDescent="0.25">
      <c r="B20" s="241" t="s">
        <v>384</v>
      </c>
      <c r="C20" s="15">
        <f>(C14/1000)*C10</f>
        <v>16146.382191780798</v>
      </c>
      <c r="D20" s="11" t="s">
        <v>326</v>
      </c>
      <c r="E20" s="239" t="s">
        <v>358</v>
      </c>
      <c r="F20" s="239"/>
      <c r="G20" s="239"/>
      <c r="H20" s="239"/>
      <c r="I20" s="239"/>
      <c r="J20" s="239"/>
    </row>
    <row r="21" spans="2:22" x14ac:dyDescent="0.25">
      <c r="B21" s="241"/>
      <c r="C21" s="15">
        <f>C20/C12</f>
        <v>1614.6382191780799</v>
      </c>
      <c r="D21" s="11" t="s">
        <v>499</v>
      </c>
      <c r="E21" s="239" t="s">
        <v>500</v>
      </c>
      <c r="F21" s="239"/>
      <c r="G21" s="239"/>
      <c r="H21" s="239"/>
      <c r="I21" s="239"/>
      <c r="J21" s="239"/>
    </row>
    <row r="23" spans="2:22" x14ac:dyDescent="0.25">
      <c r="B23" s="240" t="s">
        <v>415</v>
      </c>
      <c r="C23" s="240"/>
      <c r="D23" s="240"/>
      <c r="E23" s="240"/>
      <c r="F23" s="240"/>
      <c r="G23" s="240"/>
      <c r="H23" s="240"/>
    </row>
    <row r="24" spans="2:22" x14ac:dyDescent="0.25">
      <c r="N24" s="1" t="s">
        <v>420</v>
      </c>
    </row>
    <row r="25" spans="2:22" x14ac:dyDescent="0.25">
      <c r="B25" s="39" t="s">
        <v>402</v>
      </c>
      <c r="C25" s="39" t="s">
        <v>374</v>
      </c>
      <c r="D25" s="39" t="s">
        <v>337</v>
      </c>
      <c r="E25" s="219" t="s">
        <v>375</v>
      </c>
      <c r="F25" s="219"/>
      <c r="G25" s="219"/>
      <c r="H25" s="219"/>
      <c r="I25" s="219"/>
      <c r="J25" s="219"/>
      <c r="M25" s="39" t="s">
        <v>419</v>
      </c>
      <c r="N25" s="39" t="s">
        <v>374</v>
      </c>
      <c r="O25" s="39" t="s">
        <v>337</v>
      </c>
      <c r="P25" s="219" t="s">
        <v>375</v>
      </c>
      <c r="Q25" s="219"/>
      <c r="R25" s="219"/>
      <c r="S25" s="219"/>
      <c r="T25" s="219"/>
      <c r="U25" s="219"/>
    </row>
    <row r="26" spans="2:22" x14ac:dyDescent="0.25">
      <c r="B26" s="120" t="s">
        <v>403</v>
      </c>
      <c r="C26" s="3">
        <v>5.6</v>
      </c>
      <c r="D26" s="3" t="s">
        <v>27</v>
      </c>
      <c r="E26" s="243" t="s">
        <v>412</v>
      </c>
      <c r="F26" s="244"/>
      <c r="G26" s="244"/>
      <c r="H26" s="244"/>
      <c r="I26" s="244"/>
      <c r="J26" s="230"/>
      <c r="K26" s="48" t="s">
        <v>413</v>
      </c>
      <c r="M26" s="120" t="s">
        <v>403</v>
      </c>
      <c r="N26" s="3">
        <v>0.1</v>
      </c>
      <c r="O26" s="3" t="s">
        <v>27</v>
      </c>
      <c r="P26" s="243" t="s">
        <v>412</v>
      </c>
      <c r="Q26" s="244"/>
      <c r="R26" s="244"/>
      <c r="S26" s="244"/>
      <c r="T26" s="244"/>
      <c r="U26" s="230"/>
    </row>
    <row r="27" spans="2:22" x14ac:dyDescent="0.25">
      <c r="B27" s="120" t="s">
        <v>404</v>
      </c>
      <c r="C27" s="3">
        <v>19.600000000000001</v>
      </c>
      <c r="D27" s="3" t="s">
        <v>27</v>
      </c>
      <c r="E27" s="243" t="s">
        <v>412</v>
      </c>
      <c r="F27" s="244"/>
      <c r="G27" s="244"/>
      <c r="H27" s="244"/>
      <c r="I27" s="244"/>
      <c r="J27" s="230"/>
      <c r="K27" s="48" t="s">
        <v>414</v>
      </c>
      <c r="M27" s="120" t="s">
        <v>404</v>
      </c>
      <c r="N27" s="3">
        <v>0.6</v>
      </c>
      <c r="O27" s="3" t="s">
        <v>27</v>
      </c>
      <c r="P27" s="243" t="s">
        <v>412</v>
      </c>
      <c r="Q27" s="244"/>
      <c r="R27" s="244"/>
      <c r="S27" s="244"/>
      <c r="T27" s="244"/>
      <c r="U27" s="230"/>
      <c r="V27" s="48" t="s">
        <v>421</v>
      </c>
    </row>
    <row r="28" spans="2:22" x14ac:dyDescent="0.25">
      <c r="B28" s="120" t="s">
        <v>405</v>
      </c>
      <c r="C28" s="3">
        <v>4.1000000000000002E-2</v>
      </c>
      <c r="D28" s="3" t="s">
        <v>27</v>
      </c>
      <c r="E28" s="243" t="s">
        <v>412</v>
      </c>
      <c r="F28" s="244"/>
      <c r="G28" s="244"/>
      <c r="H28" s="244"/>
      <c r="I28" s="244"/>
      <c r="J28" s="230"/>
      <c r="M28" s="120" t="s">
        <v>405</v>
      </c>
      <c r="N28" s="3">
        <v>1.5</v>
      </c>
      <c r="O28" s="3" t="s">
        <v>422</v>
      </c>
      <c r="P28" s="243" t="s">
        <v>412</v>
      </c>
      <c r="Q28" s="244"/>
      <c r="R28" s="244"/>
      <c r="S28" s="244"/>
      <c r="T28" s="244"/>
      <c r="U28" s="230"/>
    </row>
    <row r="30" spans="2:22" x14ac:dyDescent="0.25">
      <c r="B30" s="240" t="s">
        <v>502</v>
      </c>
      <c r="C30" s="240"/>
      <c r="D30" s="240"/>
      <c r="E30" s="240"/>
      <c r="F30" s="240"/>
      <c r="G30" s="240"/>
      <c r="H30" s="240"/>
      <c r="M30" s="240" t="s">
        <v>503</v>
      </c>
      <c r="N30" s="240"/>
      <c r="O30" s="240"/>
      <c r="P30" s="240"/>
      <c r="Q30" s="240"/>
      <c r="R30" s="240"/>
      <c r="S30" s="240"/>
    </row>
    <row r="32" spans="2:22" x14ac:dyDescent="0.25">
      <c r="B32" s="39" t="s">
        <v>376</v>
      </c>
      <c r="C32" s="39" t="s">
        <v>374</v>
      </c>
      <c r="D32" s="39" t="s">
        <v>337</v>
      </c>
      <c r="E32" s="219" t="s">
        <v>375</v>
      </c>
      <c r="F32" s="219"/>
      <c r="G32" s="219"/>
      <c r="H32" s="219"/>
      <c r="I32" s="219"/>
      <c r="J32" s="219"/>
      <c r="M32" s="39" t="s">
        <v>376</v>
      </c>
      <c r="N32" s="39" t="s">
        <v>374</v>
      </c>
      <c r="O32" s="39" t="s">
        <v>337</v>
      </c>
      <c r="P32" s="219" t="s">
        <v>375</v>
      </c>
      <c r="Q32" s="219"/>
      <c r="R32" s="219"/>
      <c r="S32" s="219"/>
      <c r="T32" s="219"/>
      <c r="U32" s="219"/>
    </row>
    <row r="33" spans="2:21" ht="18" x14ac:dyDescent="0.25">
      <c r="B33" s="133" t="s">
        <v>398</v>
      </c>
      <c r="C33" s="3">
        <v>0.05</v>
      </c>
      <c r="D33" s="3" t="s">
        <v>411</v>
      </c>
      <c r="E33" s="243" t="s">
        <v>410</v>
      </c>
      <c r="F33" s="244"/>
      <c r="G33" s="244"/>
      <c r="H33" s="244"/>
      <c r="I33" s="244"/>
      <c r="J33" s="230"/>
      <c r="M33" s="133" t="s">
        <v>504</v>
      </c>
      <c r="N33" s="3">
        <v>0.129</v>
      </c>
      <c r="O33" s="3" t="s">
        <v>411</v>
      </c>
      <c r="P33" s="229" t="s">
        <v>505</v>
      </c>
      <c r="Q33" s="244"/>
      <c r="R33" s="244"/>
      <c r="S33" s="244"/>
      <c r="T33" s="244"/>
      <c r="U33" s="230"/>
    </row>
    <row r="34" spans="2:21" ht="18" x14ac:dyDescent="0.35">
      <c r="B34" s="138" t="s">
        <v>448</v>
      </c>
      <c r="C34" s="3">
        <v>0.04</v>
      </c>
      <c r="D34" s="3" t="s">
        <v>411</v>
      </c>
      <c r="E34" s="243" t="s">
        <v>410</v>
      </c>
      <c r="F34" s="244"/>
      <c r="G34" s="244"/>
      <c r="H34" s="244"/>
      <c r="I34" s="244"/>
      <c r="J34" s="230"/>
      <c r="M34" s="138" t="s">
        <v>36</v>
      </c>
      <c r="N34" s="3">
        <v>8.9999999999999998E-4</v>
      </c>
      <c r="O34" s="3" t="s">
        <v>411</v>
      </c>
      <c r="P34" s="229" t="s">
        <v>505</v>
      </c>
      <c r="Q34" s="244"/>
      <c r="R34" s="244"/>
      <c r="S34" s="244"/>
      <c r="T34" s="244"/>
      <c r="U34" s="230"/>
    </row>
    <row r="36" spans="2:21" x14ac:dyDescent="0.25">
      <c r="B36" s="240" t="s">
        <v>539</v>
      </c>
      <c r="C36" s="240"/>
      <c r="D36" s="240"/>
      <c r="E36" s="240"/>
      <c r="F36" s="240"/>
      <c r="G36" s="240"/>
      <c r="H36" s="240"/>
      <c r="M36" s="240" t="s">
        <v>492</v>
      </c>
      <c r="N36" s="240"/>
      <c r="O36" s="240"/>
      <c r="P36" s="240"/>
      <c r="Q36" s="240"/>
      <c r="R36" s="240"/>
      <c r="S36" s="240"/>
    </row>
    <row r="38" spans="2:21" x14ac:dyDescent="0.25">
      <c r="B38" s="39" t="s">
        <v>423</v>
      </c>
      <c r="C38" s="39" t="s">
        <v>374</v>
      </c>
      <c r="D38" s="39" t="s">
        <v>337</v>
      </c>
      <c r="E38" s="219" t="s">
        <v>375</v>
      </c>
      <c r="F38" s="219"/>
      <c r="G38" s="219"/>
      <c r="H38" s="219"/>
      <c r="I38" s="219"/>
      <c r="J38" s="219"/>
      <c r="M38" s="39" t="s">
        <v>423</v>
      </c>
      <c r="N38" s="39" t="s">
        <v>374</v>
      </c>
      <c r="O38" s="39" t="s">
        <v>337</v>
      </c>
      <c r="P38" s="219" t="s">
        <v>375</v>
      </c>
      <c r="Q38" s="219"/>
      <c r="R38" s="219"/>
      <c r="S38" s="219"/>
      <c r="T38" s="219"/>
      <c r="U38" s="219"/>
    </row>
    <row r="39" spans="2:21" ht="17.25" x14ac:dyDescent="0.25">
      <c r="B39" s="120" t="s">
        <v>334</v>
      </c>
      <c r="C39" s="19">
        <f>'Scenario 2'!N159</f>
        <v>871.46682253550148</v>
      </c>
      <c r="D39" s="3" t="s">
        <v>446</v>
      </c>
      <c r="E39" s="235" t="s">
        <v>487</v>
      </c>
      <c r="F39" s="236"/>
      <c r="G39" s="236"/>
      <c r="H39" s="236"/>
      <c r="I39" s="236"/>
      <c r="J39" s="237"/>
      <c r="K39" s="48" t="s">
        <v>427</v>
      </c>
      <c r="M39" s="120" t="s">
        <v>335</v>
      </c>
      <c r="N39" s="19">
        <f>'Scenario 2'!K20</f>
        <v>113.04565829528141</v>
      </c>
      <c r="O39" s="3" t="s">
        <v>31</v>
      </c>
      <c r="P39" s="235" t="s">
        <v>489</v>
      </c>
      <c r="Q39" s="236"/>
      <c r="R39" s="236"/>
      <c r="S39" s="236"/>
      <c r="T39" s="236"/>
      <c r="U39" s="237"/>
    </row>
    <row r="40" spans="2:21" x14ac:dyDescent="0.25">
      <c r="B40" s="120" t="s">
        <v>424</v>
      </c>
      <c r="C40" s="172">
        <v>100</v>
      </c>
      <c r="D40" s="3" t="s">
        <v>425</v>
      </c>
      <c r="E40" s="243" t="s">
        <v>426</v>
      </c>
      <c r="F40" s="244"/>
      <c r="G40" s="244"/>
      <c r="H40" s="244"/>
      <c r="I40" s="244"/>
      <c r="J40" s="230"/>
      <c r="K40" s="48" t="s">
        <v>427</v>
      </c>
      <c r="M40" s="241" t="s">
        <v>488</v>
      </c>
      <c r="N40" s="11">
        <v>10</v>
      </c>
      <c r="O40" s="11" t="s">
        <v>139</v>
      </c>
      <c r="P40" s="238" t="s">
        <v>427</v>
      </c>
      <c r="Q40" s="238"/>
      <c r="R40" s="238"/>
      <c r="S40" s="238"/>
      <c r="T40" s="238"/>
      <c r="U40" s="238"/>
    </row>
    <row r="41" spans="2:21" x14ac:dyDescent="0.25">
      <c r="B41" s="233" t="s">
        <v>428</v>
      </c>
      <c r="C41" s="3">
        <v>0.18</v>
      </c>
      <c r="D41" s="3" t="s">
        <v>429</v>
      </c>
      <c r="E41" s="247" t="s">
        <v>430</v>
      </c>
      <c r="F41" s="248"/>
      <c r="G41" s="248"/>
      <c r="H41" s="248"/>
      <c r="I41" s="248"/>
      <c r="J41" s="249"/>
      <c r="K41" s="48" t="s">
        <v>427</v>
      </c>
      <c r="M41" s="241"/>
      <c r="N41" s="15">
        <f>(N39*1000)/(N40*1000)</f>
        <v>11.304565829528141</v>
      </c>
      <c r="O41" s="11" t="s">
        <v>490</v>
      </c>
      <c r="P41" s="238"/>
      <c r="Q41" s="238"/>
      <c r="R41" s="238"/>
      <c r="S41" s="238"/>
      <c r="T41" s="238"/>
      <c r="U41" s="238"/>
    </row>
    <row r="42" spans="2:21" x14ac:dyDescent="0.25">
      <c r="B42" s="234"/>
      <c r="C42" s="3">
        <f>(C41*850)/1000</f>
        <v>0.153</v>
      </c>
      <c r="D42" s="3" t="s">
        <v>444</v>
      </c>
      <c r="E42" s="250"/>
      <c r="F42" s="251"/>
      <c r="G42" s="251"/>
      <c r="H42" s="251"/>
      <c r="I42" s="251"/>
      <c r="J42" s="252"/>
      <c r="K42" s="48"/>
      <c r="M42" s="120" t="s">
        <v>328</v>
      </c>
      <c r="N42" s="19">
        <f>(N40*N41)*C40</f>
        <v>11304.565829528141</v>
      </c>
      <c r="O42" s="3" t="s">
        <v>491</v>
      </c>
      <c r="P42" s="235" t="s">
        <v>489</v>
      </c>
      <c r="Q42" s="236"/>
      <c r="R42" s="236"/>
      <c r="S42" s="236"/>
      <c r="T42" s="236"/>
      <c r="U42" s="237"/>
    </row>
    <row r="43" spans="2:21" x14ac:dyDescent="0.25">
      <c r="B43" s="241" t="s">
        <v>205</v>
      </c>
      <c r="C43" s="3">
        <v>42.8</v>
      </c>
      <c r="D43" s="3" t="s">
        <v>442</v>
      </c>
      <c r="E43" s="247" t="s">
        <v>443</v>
      </c>
      <c r="F43" s="248"/>
      <c r="G43" s="248"/>
      <c r="H43" s="248"/>
      <c r="I43" s="248"/>
      <c r="J43" s="249"/>
      <c r="K43" s="48"/>
    </row>
    <row r="44" spans="2:21" x14ac:dyDescent="0.25">
      <c r="B44" s="241"/>
      <c r="C44" s="3">
        <f>C42*C43</f>
        <v>6.5483999999999991</v>
      </c>
      <c r="D44" s="3" t="s">
        <v>445</v>
      </c>
      <c r="E44" s="250"/>
      <c r="F44" s="251"/>
      <c r="G44" s="251"/>
      <c r="H44" s="251"/>
      <c r="I44" s="251"/>
      <c r="J44" s="252"/>
      <c r="K44" s="48"/>
      <c r="M44" s="240" t="s">
        <v>493</v>
      </c>
      <c r="N44" s="240"/>
      <c r="O44" s="240"/>
      <c r="P44" s="240"/>
      <c r="Q44" s="240"/>
      <c r="R44" s="240"/>
      <c r="S44" s="240"/>
    </row>
    <row r="45" spans="2:21" x14ac:dyDescent="0.25">
      <c r="B45" s="6"/>
      <c r="D45" s="6"/>
      <c r="E45" s="146"/>
      <c r="F45" s="146"/>
      <c r="G45" s="146"/>
      <c r="H45" s="146"/>
      <c r="I45" s="146"/>
      <c r="J45" s="146"/>
      <c r="K45" s="48"/>
    </row>
    <row r="46" spans="2:21" x14ac:dyDescent="0.25">
      <c r="B46" s="39" t="s">
        <v>423</v>
      </c>
      <c r="C46" s="39" t="s">
        <v>374</v>
      </c>
      <c r="D46" s="39" t="s">
        <v>337</v>
      </c>
      <c r="E46" s="219" t="s">
        <v>375</v>
      </c>
      <c r="F46" s="219"/>
      <c r="G46" s="219"/>
      <c r="H46" s="219"/>
      <c r="I46" s="219"/>
      <c r="J46" s="219"/>
      <c r="K46" s="48"/>
      <c r="M46" s="39" t="s">
        <v>423</v>
      </c>
      <c r="N46" s="39" t="s">
        <v>374</v>
      </c>
      <c r="O46" s="39" t="s">
        <v>337</v>
      </c>
      <c r="P46" s="219" t="s">
        <v>375</v>
      </c>
      <c r="Q46" s="219"/>
      <c r="R46" s="219"/>
      <c r="S46" s="219"/>
      <c r="T46" s="219"/>
      <c r="U46" s="219"/>
    </row>
    <row r="47" spans="2:21" ht="17.25" x14ac:dyDescent="0.25">
      <c r="B47" s="120" t="s">
        <v>334</v>
      </c>
      <c r="C47" s="19">
        <f>C39/1000</f>
        <v>0.87146682253550145</v>
      </c>
      <c r="D47" s="3" t="s">
        <v>50</v>
      </c>
      <c r="E47" s="235" t="s">
        <v>602</v>
      </c>
      <c r="F47" s="236"/>
      <c r="G47" s="236"/>
      <c r="H47" s="236"/>
      <c r="I47" s="236"/>
      <c r="J47" s="237"/>
      <c r="K47" s="48"/>
      <c r="M47" s="120" t="s">
        <v>363</v>
      </c>
      <c r="N47" s="19">
        <f>'Scenario 2'!D20</f>
        <v>37.7693150684931</v>
      </c>
      <c r="O47" s="3" t="s">
        <v>31</v>
      </c>
      <c r="P47" s="235" t="s">
        <v>489</v>
      </c>
      <c r="Q47" s="236"/>
      <c r="R47" s="236"/>
      <c r="S47" s="236"/>
      <c r="T47" s="236"/>
      <c r="U47" s="237"/>
    </row>
    <row r="48" spans="2:21" x14ac:dyDescent="0.25">
      <c r="B48" s="241" t="s">
        <v>488</v>
      </c>
      <c r="C48" s="11">
        <v>2.5</v>
      </c>
      <c r="D48" s="11" t="s">
        <v>139</v>
      </c>
      <c r="E48" s="238" t="s">
        <v>427</v>
      </c>
      <c r="F48" s="238"/>
      <c r="G48" s="238"/>
      <c r="H48" s="238"/>
      <c r="I48" s="238"/>
      <c r="J48" s="238"/>
      <c r="K48" s="48"/>
      <c r="M48" s="241" t="s">
        <v>488</v>
      </c>
      <c r="N48" s="11">
        <v>10</v>
      </c>
      <c r="O48" s="11" t="s">
        <v>139</v>
      </c>
      <c r="P48" s="238" t="s">
        <v>427</v>
      </c>
      <c r="Q48" s="238"/>
      <c r="R48" s="238"/>
      <c r="S48" s="238"/>
      <c r="T48" s="238"/>
      <c r="U48" s="238"/>
    </row>
    <row r="49" spans="2:21" x14ac:dyDescent="0.25">
      <c r="B49" s="241"/>
      <c r="C49" s="15">
        <f>(C47*1000)/(C48*1000)</f>
        <v>0.34858672901420057</v>
      </c>
      <c r="D49" s="11" t="s">
        <v>490</v>
      </c>
      <c r="E49" s="238"/>
      <c r="F49" s="238"/>
      <c r="G49" s="238"/>
      <c r="H49" s="238"/>
      <c r="I49" s="238"/>
      <c r="J49" s="238"/>
      <c r="K49" s="48"/>
      <c r="M49" s="241"/>
      <c r="N49" s="15">
        <f>(N47*1000)/(N48*1000)</f>
        <v>3.7769315068493103</v>
      </c>
      <c r="O49" s="11" t="s">
        <v>490</v>
      </c>
      <c r="P49" s="238"/>
      <c r="Q49" s="238"/>
      <c r="R49" s="238"/>
      <c r="S49" s="238"/>
      <c r="T49" s="238"/>
      <c r="U49" s="238"/>
    </row>
    <row r="50" spans="2:21" x14ac:dyDescent="0.25">
      <c r="B50" s="120" t="s">
        <v>328</v>
      </c>
      <c r="C50" s="19">
        <f>(C48*C49)*C40</f>
        <v>87.146682253550139</v>
      </c>
      <c r="D50" s="3" t="s">
        <v>491</v>
      </c>
      <c r="E50" s="235" t="s">
        <v>489</v>
      </c>
      <c r="F50" s="236"/>
      <c r="G50" s="236"/>
      <c r="H50" s="236"/>
      <c r="I50" s="236"/>
      <c r="J50" s="237"/>
      <c r="K50" s="48"/>
      <c r="M50" s="120" t="s">
        <v>328</v>
      </c>
      <c r="N50" s="19">
        <f>(N48*N49)*15</f>
        <v>566.53972602739645</v>
      </c>
      <c r="O50" s="3" t="s">
        <v>491</v>
      </c>
      <c r="P50" s="235" t="s">
        <v>489</v>
      </c>
      <c r="Q50" s="236"/>
      <c r="R50" s="236"/>
      <c r="S50" s="236"/>
      <c r="T50" s="236"/>
      <c r="U50" s="237"/>
    </row>
    <row r="52" spans="2:21" x14ac:dyDescent="0.25">
      <c r="B52" s="240" t="s">
        <v>496</v>
      </c>
      <c r="C52" s="240"/>
      <c r="D52" s="240"/>
      <c r="E52" s="240"/>
      <c r="F52" s="240"/>
      <c r="G52" s="240"/>
      <c r="H52" s="240"/>
    </row>
    <row r="54" spans="2:21" x14ac:dyDescent="0.25">
      <c r="B54" s="39" t="s">
        <v>316</v>
      </c>
      <c r="C54" s="39" t="s">
        <v>374</v>
      </c>
      <c r="D54" s="39" t="s">
        <v>337</v>
      </c>
      <c r="E54" s="219" t="s">
        <v>375</v>
      </c>
      <c r="F54" s="219"/>
      <c r="G54" s="219"/>
      <c r="H54" s="219"/>
      <c r="I54" s="219"/>
      <c r="J54" s="219"/>
    </row>
    <row r="55" spans="2:21" ht="17.25" x14ac:dyDescent="0.25">
      <c r="B55" s="120" t="s">
        <v>381</v>
      </c>
      <c r="C55" s="19">
        <f>'Scenario 2'!E204</f>
        <v>0.83</v>
      </c>
      <c r="D55" s="3" t="s">
        <v>50</v>
      </c>
      <c r="E55" s="229" t="s">
        <v>387</v>
      </c>
      <c r="F55" s="244"/>
      <c r="G55" s="244"/>
      <c r="H55" s="244"/>
      <c r="I55" s="244"/>
      <c r="J55" s="230"/>
    </row>
    <row r="56" spans="2:21" x14ac:dyDescent="0.25">
      <c r="B56" s="120" t="s">
        <v>507</v>
      </c>
      <c r="C56" s="19">
        <f>'Scenario 2'!F204</f>
        <v>1.9810000000000001</v>
      </c>
      <c r="D56" s="3" t="s">
        <v>87</v>
      </c>
      <c r="E56" s="229" t="s">
        <v>387</v>
      </c>
      <c r="F56" s="244"/>
      <c r="G56" s="244"/>
      <c r="H56" s="244"/>
      <c r="I56" s="244"/>
      <c r="J56" s="230"/>
    </row>
    <row r="57" spans="2:21" x14ac:dyDescent="0.25">
      <c r="B57" s="120" t="s">
        <v>508</v>
      </c>
      <c r="C57" s="19">
        <f>'Scenario 2'!G204</f>
        <v>0.30480000000000002</v>
      </c>
      <c r="D57" s="3" t="s">
        <v>87</v>
      </c>
      <c r="E57" s="229" t="s">
        <v>387</v>
      </c>
      <c r="F57" s="244"/>
      <c r="G57" s="244"/>
      <c r="H57" s="244"/>
      <c r="I57" s="244"/>
      <c r="J57" s="230"/>
    </row>
    <row r="58" spans="2:21" ht="17.25" x14ac:dyDescent="0.25">
      <c r="B58" s="120" t="s">
        <v>47</v>
      </c>
      <c r="C58" s="19">
        <f>'Scenario 2'!I204</f>
        <v>1.8969212902528687</v>
      </c>
      <c r="D58" s="3" t="s">
        <v>48</v>
      </c>
      <c r="E58" s="229" t="s">
        <v>39</v>
      </c>
      <c r="F58" s="244"/>
      <c r="G58" s="244"/>
      <c r="H58" s="244"/>
      <c r="I58" s="244"/>
      <c r="J58" s="230"/>
    </row>
    <row r="59" spans="2:21" x14ac:dyDescent="0.25">
      <c r="B59" s="120" t="s">
        <v>382</v>
      </c>
      <c r="C59" s="160">
        <v>10</v>
      </c>
      <c r="D59" s="3" t="s">
        <v>383</v>
      </c>
      <c r="E59" s="229" t="s">
        <v>509</v>
      </c>
      <c r="F59" s="244"/>
      <c r="G59" s="244"/>
      <c r="H59" s="244"/>
      <c r="I59" s="244"/>
      <c r="J59" s="230"/>
    </row>
    <row r="60" spans="2:21" ht="17.25" x14ac:dyDescent="0.25">
      <c r="B60" s="120" t="s">
        <v>506</v>
      </c>
      <c r="C60" s="3">
        <v>50</v>
      </c>
      <c r="D60" s="3" t="s">
        <v>480</v>
      </c>
      <c r="E60" s="229" t="s">
        <v>505</v>
      </c>
      <c r="F60" s="244"/>
      <c r="G60" s="244"/>
      <c r="H60" s="244"/>
      <c r="I60" s="244"/>
      <c r="J60" s="230"/>
    </row>
    <row r="62" spans="2:21" x14ac:dyDescent="0.25">
      <c r="B62" s="39" t="s">
        <v>386</v>
      </c>
      <c r="C62" s="39" t="s">
        <v>374</v>
      </c>
      <c r="D62" s="39" t="s">
        <v>337</v>
      </c>
      <c r="E62" s="219" t="s">
        <v>375</v>
      </c>
      <c r="F62" s="219"/>
      <c r="G62" s="219"/>
      <c r="H62" s="219"/>
      <c r="I62" s="219"/>
      <c r="J62" s="219"/>
    </row>
    <row r="63" spans="2:21" x14ac:dyDescent="0.25">
      <c r="B63" s="241" t="s">
        <v>510</v>
      </c>
      <c r="C63" s="15">
        <f>C58*C60</f>
        <v>94.846064512643437</v>
      </c>
      <c r="D63" s="11" t="s">
        <v>326</v>
      </c>
      <c r="E63" s="239" t="s">
        <v>39</v>
      </c>
      <c r="F63" s="239"/>
      <c r="G63" s="239"/>
      <c r="H63" s="239"/>
      <c r="I63" s="239"/>
      <c r="J63" s="239"/>
    </row>
    <row r="64" spans="2:21" x14ac:dyDescent="0.25">
      <c r="B64" s="241"/>
      <c r="C64" s="135">
        <f>C63/C59</f>
        <v>9.4846064512643444</v>
      </c>
      <c r="D64" s="11" t="s">
        <v>499</v>
      </c>
      <c r="E64" s="239" t="s">
        <v>500</v>
      </c>
      <c r="F64" s="239"/>
      <c r="G64" s="239"/>
      <c r="H64" s="239"/>
      <c r="I64" s="239"/>
      <c r="J64" s="239"/>
    </row>
    <row r="66" spans="2:10" x14ac:dyDescent="0.25">
      <c r="B66" s="240" t="s">
        <v>497</v>
      </c>
      <c r="C66" s="240"/>
      <c r="D66" s="240"/>
      <c r="E66" s="240"/>
      <c r="F66" s="240"/>
      <c r="G66" s="240"/>
      <c r="H66" s="240"/>
    </row>
    <row r="68" spans="2:10" x14ac:dyDescent="0.25">
      <c r="B68" s="39" t="s">
        <v>316</v>
      </c>
      <c r="C68" s="39" t="s">
        <v>374</v>
      </c>
      <c r="D68" s="39" t="s">
        <v>337</v>
      </c>
      <c r="E68" s="219" t="s">
        <v>375</v>
      </c>
      <c r="F68" s="219"/>
      <c r="G68" s="219"/>
      <c r="H68" s="219"/>
      <c r="I68" s="219"/>
      <c r="J68" s="219"/>
    </row>
    <row r="69" spans="2:10" ht="17.25" x14ac:dyDescent="0.25">
      <c r="B69" s="120" t="s">
        <v>381</v>
      </c>
      <c r="C69" s="19">
        <f>'Scenario 2'!E208</f>
        <v>5.09</v>
      </c>
      <c r="D69" s="3" t="s">
        <v>50</v>
      </c>
      <c r="E69" s="229" t="s">
        <v>387</v>
      </c>
      <c r="F69" s="244"/>
      <c r="G69" s="244"/>
      <c r="H69" s="244"/>
      <c r="I69" s="244"/>
      <c r="J69" s="230"/>
    </row>
    <row r="70" spans="2:10" x14ac:dyDescent="0.25">
      <c r="B70" s="120" t="s">
        <v>507</v>
      </c>
      <c r="C70" s="19">
        <f>'Scenario 2'!F208</f>
        <v>1.2190000000000001</v>
      </c>
      <c r="D70" s="3" t="s">
        <v>87</v>
      </c>
      <c r="E70" s="229" t="s">
        <v>387</v>
      </c>
      <c r="F70" s="244"/>
      <c r="G70" s="244"/>
      <c r="H70" s="244"/>
      <c r="I70" s="244"/>
      <c r="J70" s="230"/>
    </row>
    <row r="71" spans="2:10" x14ac:dyDescent="0.25">
      <c r="B71" s="120" t="s">
        <v>508</v>
      </c>
      <c r="C71" s="19">
        <f>'Scenario 2'!G208</f>
        <v>2.59</v>
      </c>
      <c r="D71" s="3" t="s">
        <v>87</v>
      </c>
      <c r="E71" s="229" t="s">
        <v>387</v>
      </c>
      <c r="F71" s="244"/>
      <c r="G71" s="244"/>
      <c r="H71" s="244"/>
      <c r="I71" s="244"/>
      <c r="J71" s="230"/>
    </row>
    <row r="72" spans="2:10" ht="17.25" x14ac:dyDescent="0.25">
      <c r="B72" s="120" t="s">
        <v>47</v>
      </c>
      <c r="C72" s="19">
        <f>'Scenario 2'!I208</f>
        <v>9.9186677418402311</v>
      </c>
      <c r="D72" s="3" t="s">
        <v>48</v>
      </c>
      <c r="E72" s="229" t="s">
        <v>39</v>
      </c>
      <c r="F72" s="244"/>
      <c r="G72" s="244"/>
      <c r="H72" s="244"/>
      <c r="I72" s="244"/>
      <c r="J72" s="230"/>
    </row>
    <row r="73" spans="2:10" x14ac:dyDescent="0.25">
      <c r="B73" s="120" t="s">
        <v>382</v>
      </c>
      <c r="C73" s="160">
        <v>10</v>
      </c>
      <c r="D73" s="3" t="s">
        <v>383</v>
      </c>
      <c r="E73" s="229" t="s">
        <v>509</v>
      </c>
      <c r="F73" s="244"/>
      <c r="G73" s="244"/>
      <c r="H73" s="244"/>
      <c r="I73" s="244"/>
      <c r="J73" s="230"/>
    </row>
    <row r="74" spans="2:10" ht="17.25" x14ac:dyDescent="0.25">
      <c r="B74" s="120" t="s">
        <v>506</v>
      </c>
      <c r="C74" s="3">
        <v>50</v>
      </c>
      <c r="D74" s="3" t="s">
        <v>480</v>
      </c>
      <c r="E74" s="229" t="s">
        <v>505</v>
      </c>
      <c r="F74" s="244"/>
      <c r="G74" s="244"/>
      <c r="H74" s="244"/>
      <c r="I74" s="244"/>
      <c r="J74" s="230"/>
    </row>
    <row r="76" spans="2:10" x14ac:dyDescent="0.25">
      <c r="B76" s="39" t="s">
        <v>386</v>
      </c>
      <c r="C76" s="39" t="s">
        <v>374</v>
      </c>
      <c r="D76" s="39" t="s">
        <v>337</v>
      </c>
      <c r="E76" s="219" t="s">
        <v>375</v>
      </c>
      <c r="F76" s="219"/>
      <c r="G76" s="219"/>
      <c r="H76" s="219"/>
      <c r="I76" s="219"/>
      <c r="J76" s="219"/>
    </row>
    <row r="77" spans="2:10" x14ac:dyDescent="0.25">
      <c r="B77" s="241" t="s">
        <v>510</v>
      </c>
      <c r="C77" s="15">
        <f>C72*C74</f>
        <v>495.93338709201157</v>
      </c>
      <c r="D77" s="11" t="s">
        <v>326</v>
      </c>
      <c r="E77" s="239" t="s">
        <v>39</v>
      </c>
      <c r="F77" s="239"/>
      <c r="G77" s="239"/>
      <c r="H77" s="239"/>
      <c r="I77" s="239"/>
      <c r="J77" s="239"/>
    </row>
    <row r="78" spans="2:10" x14ac:dyDescent="0.25">
      <c r="B78" s="241"/>
      <c r="C78" s="135">
        <f>C77/C73</f>
        <v>49.593338709201156</v>
      </c>
      <c r="D78" s="11" t="s">
        <v>499</v>
      </c>
      <c r="E78" s="239" t="s">
        <v>500</v>
      </c>
      <c r="F78" s="239"/>
      <c r="G78" s="239"/>
      <c r="H78" s="239"/>
      <c r="I78" s="239"/>
      <c r="J78" s="239"/>
    </row>
  </sheetData>
  <mergeCells count="90">
    <mergeCell ref="M30:S30"/>
    <mergeCell ref="P32:U32"/>
    <mergeCell ref="P33:U33"/>
    <mergeCell ref="P34:U34"/>
    <mergeCell ref="E68:J68"/>
    <mergeCell ref="E54:J54"/>
    <mergeCell ref="B52:H52"/>
    <mergeCell ref="B66:H66"/>
    <mergeCell ref="E60:J60"/>
    <mergeCell ref="E62:J62"/>
    <mergeCell ref="B63:B64"/>
    <mergeCell ref="E63:J63"/>
    <mergeCell ref="E64:J64"/>
    <mergeCell ref="E39:J39"/>
    <mergeCell ref="E50:J50"/>
    <mergeCell ref="M36:S36"/>
    <mergeCell ref="E69:J69"/>
    <mergeCell ref="E70:J70"/>
    <mergeCell ref="E71:J71"/>
    <mergeCell ref="E72:J72"/>
    <mergeCell ref="E73:J73"/>
    <mergeCell ref="E74:J74"/>
    <mergeCell ref="E76:J76"/>
    <mergeCell ref="B77:B78"/>
    <mergeCell ref="E77:J77"/>
    <mergeCell ref="E78:J78"/>
    <mergeCell ref="B20:B21"/>
    <mergeCell ref="E21:J21"/>
    <mergeCell ref="E55:J55"/>
    <mergeCell ref="E58:J58"/>
    <mergeCell ref="E59:J59"/>
    <mergeCell ref="E56:J56"/>
    <mergeCell ref="E57:J57"/>
    <mergeCell ref="B48:B49"/>
    <mergeCell ref="B41:B42"/>
    <mergeCell ref="E41:J42"/>
    <mergeCell ref="B43:B44"/>
    <mergeCell ref="E43:J44"/>
    <mergeCell ref="B23:H23"/>
    <mergeCell ref="E27:J27"/>
    <mergeCell ref="E28:J28"/>
    <mergeCell ref="E40:J40"/>
    <mergeCell ref="E15:J15"/>
    <mergeCell ref="E25:J25"/>
    <mergeCell ref="E26:J26"/>
    <mergeCell ref="M2:S2"/>
    <mergeCell ref="M8:M9"/>
    <mergeCell ref="E9:J9"/>
    <mergeCell ref="E20:J20"/>
    <mergeCell ref="E13:J13"/>
    <mergeCell ref="E14:J14"/>
    <mergeCell ref="E11:J11"/>
    <mergeCell ref="E10:J10"/>
    <mergeCell ref="E12:J12"/>
    <mergeCell ref="Q8:Q9"/>
    <mergeCell ref="B2:H2"/>
    <mergeCell ref="E6:J6"/>
    <mergeCell ref="E4:J4"/>
    <mergeCell ref="E5:J5"/>
    <mergeCell ref="E8:J8"/>
    <mergeCell ref="M11:S11"/>
    <mergeCell ref="Q18:S18"/>
    <mergeCell ref="E38:J38"/>
    <mergeCell ref="P25:U25"/>
    <mergeCell ref="P26:U26"/>
    <mergeCell ref="P27:U27"/>
    <mergeCell ref="P28:U28"/>
    <mergeCell ref="B36:H36"/>
    <mergeCell ref="B30:H30"/>
    <mergeCell ref="E32:J32"/>
    <mergeCell ref="E33:J33"/>
    <mergeCell ref="E34:J34"/>
    <mergeCell ref="E17:J17"/>
    <mergeCell ref="E18:J18"/>
    <mergeCell ref="B18:B19"/>
    <mergeCell ref="P50:U50"/>
    <mergeCell ref="E46:J46"/>
    <mergeCell ref="E47:J47"/>
    <mergeCell ref="E48:J49"/>
    <mergeCell ref="E19:J19"/>
    <mergeCell ref="M44:S44"/>
    <mergeCell ref="P46:U46"/>
    <mergeCell ref="P47:U47"/>
    <mergeCell ref="M48:M49"/>
    <mergeCell ref="P48:U49"/>
    <mergeCell ref="P38:U38"/>
    <mergeCell ref="P39:U39"/>
    <mergeCell ref="M40:M41"/>
    <mergeCell ref="P40:U41"/>
    <mergeCell ref="P42:U42"/>
  </mergeCells>
  <hyperlinks>
    <hyperlink ref="E14" r:id="rId1" xr:uid="{00000000-0004-0000-0100-000000000000}"/>
    <hyperlink ref="E6" r:id="rId2" xr:uid="{00000000-0004-0000-0100-000001000000}"/>
    <hyperlink ref="E33" r:id="rId3" xr:uid="{00000000-0004-0000-0100-000002000000}"/>
    <hyperlink ref="E34" r:id="rId4" xr:uid="{00000000-0004-0000-0100-000003000000}"/>
    <hyperlink ref="E26" r:id="rId5" xr:uid="{00000000-0004-0000-0100-000004000000}"/>
    <hyperlink ref="E27" r:id="rId6" xr:uid="{00000000-0004-0000-0100-000005000000}"/>
    <hyperlink ref="E28" r:id="rId7" xr:uid="{00000000-0004-0000-0100-000006000000}"/>
    <hyperlink ref="P26" r:id="rId8" xr:uid="{00000000-0004-0000-0100-000007000000}"/>
    <hyperlink ref="P27" r:id="rId9" xr:uid="{00000000-0004-0000-0100-000008000000}"/>
    <hyperlink ref="P28" r:id="rId10" xr:uid="{00000000-0004-0000-0100-000009000000}"/>
    <hyperlink ref="E40" r:id="rId11" xr:uid="{00000000-0004-0000-0100-00000A000000}"/>
    <hyperlink ref="E41" r:id="rId12" location="b21" xr:uid="{00000000-0004-0000-0100-00000B000000}"/>
    <hyperlink ref="E43" r:id="rId13" xr:uid="{00000000-0004-0000-0100-00000C000000}"/>
  </hyperlinks>
  <pageMargins left="0.7" right="0.7" top="0.75" bottom="0.75" header="0.3" footer="0.3"/>
  <legacyDrawing r:id="rId1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R107"/>
  <sheetViews>
    <sheetView zoomScale="80" zoomScaleNormal="80" workbookViewId="0">
      <selection activeCell="C16" sqref="C16"/>
    </sheetView>
  </sheetViews>
  <sheetFormatPr defaultColWidth="11.42578125" defaultRowHeight="15" x14ac:dyDescent="0.25"/>
  <cols>
    <col min="2" max="2" width="29.140625" customWidth="1"/>
    <col min="3" max="3" width="11.140625" bestFit="1" customWidth="1"/>
    <col min="4" max="4" width="21" bestFit="1" customWidth="1"/>
    <col min="5" max="6" width="11.85546875" bestFit="1" customWidth="1"/>
    <col min="8" max="8" width="20.140625" customWidth="1"/>
    <col min="10" max="10" width="14" bestFit="1" customWidth="1"/>
    <col min="11" max="11" width="12.42578125" bestFit="1" customWidth="1"/>
    <col min="12" max="12" width="18.7109375" bestFit="1" customWidth="1"/>
    <col min="13" max="13" width="11.42578125" bestFit="1" customWidth="1"/>
    <col min="14" max="14" width="12.140625" bestFit="1" customWidth="1"/>
  </cols>
  <sheetData>
    <row r="2" spans="2:13" x14ac:dyDescent="0.25">
      <c r="B2" s="240" t="s">
        <v>324</v>
      </c>
      <c r="C2" s="240"/>
      <c r="D2" s="240"/>
      <c r="E2" s="240"/>
      <c r="F2" s="240"/>
      <c r="G2" s="240"/>
      <c r="H2" s="240"/>
      <c r="J2" s="270" t="s">
        <v>347</v>
      </c>
      <c r="K2" s="271"/>
      <c r="L2" s="272"/>
    </row>
    <row r="4" spans="2:13" x14ac:dyDescent="0.25">
      <c r="B4" s="121" t="s">
        <v>196</v>
      </c>
      <c r="C4" s="121" t="s">
        <v>328</v>
      </c>
      <c r="D4" s="121" t="s">
        <v>329</v>
      </c>
      <c r="E4" s="128"/>
      <c r="F4" s="121" t="s">
        <v>325</v>
      </c>
      <c r="G4" s="121" t="s">
        <v>328</v>
      </c>
      <c r="H4" s="121" t="s">
        <v>329</v>
      </c>
      <c r="I4" s="128"/>
      <c r="J4" s="121" t="s">
        <v>330</v>
      </c>
      <c r="K4" s="121" t="s">
        <v>328</v>
      </c>
      <c r="L4" s="121" t="s">
        <v>329</v>
      </c>
    </row>
    <row r="5" spans="2:13" ht="17.25" x14ac:dyDescent="0.25">
      <c r="B5" s="11" t="s">
        <v>331</v>
      </c>
      <c r="C5" s="15">
        <f>'Scenario 2'!D20/'LCA inventary (SimaPro)'!K5</f>
        <v>7.4557932090765382</v>
      </c>
      <c r="D5" s="11" t="s">
        <v>450</v>
      </c>
      <c r="E5" s="128"/>
      <c r="F5" s="11" t="s">
        <v>332</v>
      </c>
      <c r="G5" s="15">
        <f>'Scenario 2'!C140/'LCA inventary (SimaPro)'!K5</f>
        <v>0.40300309721240646</v>
      </c>
      <c r="H5" s="11" t="s">
        <v>451</v>
      </c>
      <c r="I5" s="128"/>
      <c r="J5" s="11" t="s">
        <v>334</v>
      </c>
      <c r="K5" s="130">
        <f>'Scenario 2'!N20</f>
        <v>5.0657675192108957</v>
      </c>
      <c r="L5" s="11" t="s">
        <v>50</v>
      </c>
    </row>
    <row r="6" spans="2:13" ht="17.25" x14ac:dyDescent="0.25">
      <c r="B6" s="11" t="s">
        <v>209</v>
      </c>
      <c r="C6" s="15">
        <f>'Scenario 2'!E21/'LCA inventary (SimaPro)'!K5</f>
        <v>43802.785103324655</v>
      </c>
      <c r="D6" s="11" t="s">
        <v>452</v>
      </c>
      <c r="E6" s="128"/>
      <c r="F6" s="11" t="s">
        <v>540</v>
      </c>
      <c r="G6" s="15">
        <f>'Scenario 2'!C118/'LCA inventary (SimaPro)'!K5</f>
        <v>46.598707556728364</v>
      </c>
      <c r="H6" s="11" t="s">
        <v>451</v>
      </c>
      <c r="I6" s="128"/>
      <c r="J6" s="11" t="s">
        <v>335</v>
      </c>
      <c r="K6" s="130">
        <f>'Scenario 2'!K20/'LCA inventary (SimaPro)'!K5</f>
        <v>22.315603285499915</v>
      </c>
      <c r="L6" s="11" t="s">
        <v>450</v>
      </c>
    </row>
    <row r="7" spans="2:13" ht="18" x14ac:dyDescent="0.25">
      <c r="B7" s="11" t="s">
        <v>156</v>
      </c>
      <c r="C7" s="15">
        <f>('Scenario 2'!C126*'Scenario 2'!I24)/'LCA inventary (SimaPro)'!K5</f>
        <v>139.7961226701851</v>
      </c>
      <c r="D7" s="11" t="s">
        <v>452</v>
      </c>
      <c r="E7" s="128"/>
      <c r="F7" s="11" t="s">
        <v>333</v>
      </c>
      <c r="G7" s="15">
        <f>'Scenario 2'!C106/'LCA inventary (SimaPro)'!K5</f>
        <v>105.93025307162412</v>
      </c>
      <c r="H7" s="11" t="s">
        <v>451</v>
      </c>
      <c r="I7" s="128"/>
      <c r="J7" s="11" t="s">
        <v>396</v>
      </c>
      <c r="K7" s="130">
        <f>'Scenario 2'!W57/'LCA inventary (SimaPro)'!K5</f>
        <v>4.1939387013444282E-3</v>
      </c>
      <c r="L7" s="11" t="s">
        <v>451</v>
      </c>
    </row>
    <row r="8" spans="2:13" ht="17.25" x14ac:dyDescent="0.25">
      <c r="B8" s="11" t="s">
        <v>215</v>
      </c>
      <c r="C8" s="15">
        <f>'Scenario 2'!O58/'LCA inventary (SimaPro)'!K5</f>
        <v>1.7707508871556779</v>
      </c>
      <c r="D8" s="11" t="s">
        <v>452</v>
      </c>
      <c r="E8" s="128"/>
      <c r="F8" s="239" t="s">
        <v>327</v>
      </c>
      <c r="G8" s="15">
        <f>'Scenario 2'!C112/'LCA inventary (SimaPro)'!K5</f>
        <v>37.370628074454757</v>
      </c>
      <c r="H8" s="11" t="s">
        <v>452</v>
      </c>
      <c r="I8" s="128"/>
      <c r="J8" s="128"/>
      <c r="K8" s="128"/>
      <c r="L8" s="128"/>
    </row>
    <row r="9" spans="2:13" ht="17.25" x14ac:dyDescent="0.25">
      <c r="B9" s="11" t="s">
        <v>218</v>
      </c>
      <c r="C9" s="15">
        <f>'Scenario 2'!O63/'LCA inventary (SimaPro)'!K5</f>
        <v>16.249507135734344</v>
      </c>
      <c r="D9" s="11" t="s">
        <v>452</v>
      </c>
      <c r="E9" s="128"/>
      <c r="F9" s="239"/>
      <c r="G9" s="15">
        <f>'Scenario 2'!T72/'LCA inventary (SimaPro)'!K5</f>
        <v>30018.162539260193</v>
      </c>
      <c r="H9" s="11" t="s">
        <v>463</v>
      </c>
      <c r="I9" s="128"/>
      <c r="J9" s="128"/>
      <c r="K9" s="128"/>
      <c r="L9" s="128"/>
    </row>
    <row r="10" spans="2:13" ht="17.25" x14ac:dyDescent="0.25">
      <c r="B10" s="11" t="s">
        <v>359</v>
      </c>
      <c r="C10" s="15">
        <f>('Scenario 2'!C125*'Scenario 2'!V28*(60/24))/K5</f>
        <v>5.5918449068074034</v>
      </c>
      <c r="D10" s="11" t="s">
        <v>450</v>
      </c>
      <c r="E10" s="128"/>
      <c r="F10" s="239"/>
      <c r="G10" s="15">
        <f>'Scenario 2'!T73/'LCA inventary (SimaPro)'!K5</f>
        <v>22.844872556514606</v>
      </c>
      <c r="H10" s="11" t="s">
        <v>451</v>
      </c>
      <c r="I10" s="128"/>
      <c r="J10" s="128"/>
      <c r="K10" s="128"/>
      <c r="L10" s="128"/>
    </row>
    <row r="12" spans="2:13" ht="17.25" x14ac:dyDescent="0.25">
      <c r="B12" s="256" t="s">
        <v>449</v>
      </c>
      <c r="C12" s="256"/>
      <c r="D12" s="256"/>
      <c r="E12" s="256"/>
      <c r="F12" s="256"/>
      <c r="G12" s="256"/>
      <c r="H12" s="256"/>
      <c r="I12" s="256"/>
      <c r="J12" s="256"/>
      <c r="K12" s="256"/>
      <c r="L12" s="256"/>
      <c r="M12" s="256"/>
    </row>
    <row r="14" spans="2:13" x14ac:dyDescent="0.25">
      <c r="B14" s="128"/>
      <c r="C14" s="129" t="s">
        <v>4</v>
      </c>
      <c r="D14" s="129" t="s">
        <v>5</v>
      </c>
      <c r="E14" s="129" t="s">
        <v>6</v>
      </c>
      <c r="F14" s="129" t="s">
        <v>7</v>
      </c>
      <c r="G14" s="129" t="s">
        <v>8</v>
      </c>
      <c r="H14" s="129" t="s">
        <v>9</v>
      </c>
      <c r="I14" s="129" t="s">
        <v>10</v>
      </c>
      <c r="J14" s="129" t="s">
        <v>11</v>
      </c>
      <c r="K14" s="129" t="s">
        <v>12</v>
      </c>
      <c r="L14" s="129" t="s">
        <v>13</v>
      </c>
      <c r="M14" s="129" t="s">
        <v>14</v>
      </c>
    </row>
    <row r="15" spans="2:13" x14ac:dyDescent="0.25">
      <c r="B15" s="128"/>
      <c r="C15" s="10" t="s">
        <v>363</v>
      </c>
      <c r="D15" s="10" t="s">
        <v>209</v>
      </c>
      <c r="E15" s="10" t="s">
        <v>364</v>
      </c>
      <c r="F15" s="10" t="s">
        <v>365</v>
      </c>
      <c r="G15" s="10" t="s">
        <v>366</v>
      </c>
      <c r="H15" s="10" t="s">
        <v>367</v>
      </c>
      <c r="I15" s="23" t="s">
        <v>368</v>
      </c>
      <c r="J15" s="10" t="s">
        <v>369</v>
      </c>
      <c r="K15" s="10" t="s">
        <v>370</v>
      </c>
      <c r="L15" s="10" t="s">
        <v>371</v>
      </c>
      <c r="M15" s="10" t="s">
        <v>334</v>
      </c>
    </row>
    <row r="16" spans="2:13" ht="17.25" x14ac:dyDescent="0.25">
      <c r="B16" s="11" t="s">
        <v>433</v>
      </c>
      <c r="C16" s="130">
        <f>'Scenario 2'!D20/'LCA inventary (SimaPro)'!$K$5</f>
        <v>7.4557932090765382</v>
      </c>
      <c r="D16" s="130">
        <f>'Scenario 2'!E20/'LCA inventary (SimaPro)'!$K$5</f>
        <v>43.802785103324659</v>
      </c>
      <c r="E16" s="130">
        <f>'Scenario 2'!F20/'LCA inventary (SimaPro)'!$K$5</f>
        <v>23.299353778364182</v>
      </c>
      <c r="F16" s="130">
        <f>'Scenario 2'!G20/'LCA inventary (SimaPro)'!$K$5</f>
        <v>74.557932090765377</v>
      </c>
      <c r="G16" s="130">
        <f>'Scenario 2'!H20/'LCA inventary (SimaPro)'!$K$5</f>
        <v>27.959224534037016</v>
      </c>
      <c r="H16" s="130">
        <f>'Scenario 2'!I20/'LCA inventary (SimaPro)'!$K$5</f>
        <v>46.598707556728364</v>
      </c>
      <c r="I16" s="130">
        <f>'Scenario 2'!J20/'LCA inventary (SimaPro)'!$K$5</f>
        <v>45.614957063864097</v>
      </c>
      <c r="J16" s="130">
        <f>'Scenario 2'!K20/'LCA inventary (SimaPro)'!$K$5</f>
        <v>22.315603285499915</v>
      </c>
      <c r="K16" s="130">
        <f>'Scenario 2'!L20/'LCA inventary (SimaPro)'!$K$5</f>
        <v>0.98375049286426552</v>
      </c>
      <c r="L16" s="130">
        <f>'Scenario 2'!M20/'LCA inventary (SimaPro)'!$K$5</f>
        <v>0.98375049286426552</v>
      </c>
      <c r="M16" s="130">
        <f>'Scenario 2'!N20/'LCA inventary (SimaPro)'!$K$5</f>
        <v>1</v>
      </c>
    </row>
    <row r="17" spans="2:18" ht="17.25" x14ac:dyDescent="0.25">
      <c r="B17" s="11" t="s">
        <v>348</v>
      </c>
      <c r="C17" s="130">
        <f>'Scenario 2'!D22/'LCA inventary (SimaPro)'!$K$5</f>
        <v>7393.1645461202952</v>
      </c>
      <c r="D17" s="130">
        <f>'Scenario 2'!E22/'LCA inventary (SimaPro)'!$K$5</f>
        <v>43802.785103324655</v>
      </c>
      <c r="E17" s="130">
        <f>'Scenario 2'!F22/'LCA inventary (SimaPro)'!$K$5</f>
        <v>23296.973594663781</v>
      </c>
      <c r="F17" s="130">
        <f>'Scenario 2'!G22/'LCA inventary (SimaPro)'!$K$5</f>
        <v>74492.923244108722</v>
      </c>
      <c r="G17" s="130">
        <f>'Scenario 2'!H22/'LCA inventary (SimaPro)'!$K$5</f>
        <v>27959.224534037021</v>
      </c>
      <c r="H17" s="130">
        <f>'Scenario 2'!I22/'LCA inventary (SimaPro)'!$K$5</f>
        <v>46505.510141614905</v>
      </c>
      <c r="I17" s="130">
        <f>'Scenario 2'!J22/'LCA inventary (SimaPro)'!$K$5</f>
        <v>45610.297193108425</v>
      </c>
      <c r="J17" s="130">
        <f>'Scenario 2'!K22/'LCA inventary (SimaPro)'!$K$5</f>
        <v>22313.32359844464</v>
      </c>
      <c r="K17" s="130">
        <f>'Scenario 2'!L22/'LCA inventary (SimaPro)'!$K$5</f>
        <v>895.21294850648155</v>
      </c>
      <c r="L17" s="130">
        <f>'Scenario 2'!M22/'LCA inventary (SimaPro)'!$K$5</f>
        <v>895.21294850648155</v>
      </c>
      <c r="M17" s="130">
        <f>'Scenario 2'!N22/'LCA inventary (SimaPro)'!$K$5</f>
        <v>895.21294850648155</v>
      </c>
    </row>
    <row r="18" spans="2:18" ht="17.25" x14ac:dyDescent="0.25">
      <c r="B18" s="11" t="s">
        <v>349</v>
      </c>
      <c r="C18" s="130">
        <f>'Scenario 2'!D24/'LCA inventary (SimaPro)'!$K$5</f>
        <v>0</v>
      </c>
      <c r="D18" s="130">
        <f>'Scenario 2'!E24/'LCA inventary (SimaPro)'!$K$5</f>
        <v>0</v>
      </c>
      <c r="E18" s="130">
        <f>'Scenario 2'!F24/'LCA inventary (SimaPro)'!$K$5</f>
        <v>2.3801837004004298</v>
      </c>
      <c r="F18" s="130">
        <f>'Scenario 2'!G24/'LCA inventary (SimaPro)'!$K$5</f>
        <v>2.3801837004004298</v>
      </c>
      <c r="G18" s="130">
        <f>'Scenario 2'!H24/'LCA inventary (SimaPro)'!$K$5</f>
        <v>0</v>
      </c>
      <c r="H18" s="130">
        <f>'Scenario 2'!I24/'LCA inventary (SimaPro)'!$K$5</f>
        <v>93.197415113456728</v>
      </c>
      <c r="I18" s="130">
        <f>'Scenario 2'!J24/'LCA inventary (SimaPro)'!$K$5</f>
        <v>4.6598707556728405</v>
      </c>
      <c r="J18" s="130">
        <f>'Scenario 2'!K24/'LCA inventary (SimaPro)'!$K$5</f>
        <v>2.2796870552724111</v>
      </c>
      <c r="K18" s="130">
        <f>'Scenario 2'!L24/'LCA inventary (SimaPro)'!$K$5</f>
        <v>88.537544357783901</v>
      </c>
      <c r="L18" s="130">
        <f>'Scenario 2'!M24/'LCA inventary (SimaPro)'!$K$5</f>
        <v>88.537544357783901</v>
      </c>
      <c r="M18" s="130">
        <f>'Scenario 2'!N24/'LCA inventary (SimaPro)'!$K$5</f>
        <v>88.537544357783901</v>
      </c>
    </row>
    <row r="19" spans="2:18" ht="17.25" x14ac:dyDescent="0.25">
      <c r="B19" s="11" t="s">
        <v>350</v>
      </c>
      <c r="C19" s="130">
        <f>'Scenario 2'!D26/'LCA inventary (SimaPro)'!$K$5</f>
        <v>62.62866295624292</v>
      </c>
      <c r="D19" s="130">
        <f>'Scenario 2'!E26/'LCA inventary (SimaPro)'!$K$5</f>
        <v>0</v>
      </c>
      <c r="E19" s="130">
        <f>'Scenario 2'!F26/'LCA inventary (SimaPro)'!$K$5</f>
        <v>2.3801837004004298</v>
      </c>
      <c r="F19" s="130">
        <f>'Scenario 2'!G26/'LCA inventary (SimaPro)'!$K$5</f>
        <v>65.008846656643357</v>
      </c>
      <c r="G19" s="130">
        <f>'Scenario 2'!H26/'LCA inventary (SimaPro)'!$K$5</f>
        <v>0</v>
      </c>
      <c r="H19" s="130">
        <f>'Scenario 2'!I26/'LCA inventary (SimaPro)'!$K$5</f>
        <v>93.197415113456728</v>
      </c>
      <c r="I19" s="130">
        <f>'Scenario 2'!J26/'LCA inventary (SimaPro)'!$K$5</f>
        <v>4.6598707556728405</v>
      </c>
      <c r="J19" s="130">
        <f>'Scenario 2'!K26/'LCA inventary (SimaPro)'!$K$5</f>
        <v>2.2796870552724111</v>
      </c>
      <c r="K19" s="130">
        <f>'Scenario 2'!L26/'LCA inventary (SimaPro)'!$K$5</f>
        <v>88.537544357783901</v>
      </c>
      <c r="L19" s="130">
        <f>'Scenario 2'!M26/'LCA inventary (SimaPro)'!$K$5</f>
        <v>88.537544357783901</v>
      </c>
      <c r="M19" s="130">
        <f>'Scenario 2'!N26/'LCA inventary (SimaPro)'!$K$5</f>
        <v>88.537544357783901</v>
      </c>
    </row>
    <row r="20" spans="2:18" ht="17.25" x14ac:dyDescent="0.25">
      <c r="B20" s="11" t="s">
        <v>351</v>
      </c>
      <c r="C20" s="130">
        <f>'Scenario 2'!D28/'LCA inventary (SimaPro)'!$K$5</f>
        <v>106.31961116143144</v>
      </c>
      <c r="D20" s="130">
        <f>'Scenario 2'!E28/'LCA inventary (SimaPro)'!$K$5</f>
        <v>0</v>
      </c>
      <c r="E20" s="130">
        <f>'Scenario 2'!F28/'LCA inventary (SimaPro)'!$K$5</f>
        <v>11.894698955222744</v>
      </c>
      <c r="F20" s="130">
        <f>'Scenario 2'!G28/'LCA inventary (SimaPro)'!$K$5</f>
        <v>118.21431011665419</v>
      </c>
      <c r="G20" s="130">
        <f>'Scenario 2'!H28/'LCA inventary (SimaPro)'!$K$5</f>
        <v>49.05300171468388</v>
      </c>
      <c r="H20" s="130">
        <f>'Scenario 2'!I28/'LCA inventary (SimaPro)'!$K$5</f>
        <v>69.161308401970302</v>
      </c>
      <c r="I20" s="130">
        <f>'Scenario 2'!J28/'LCA inventary (SimaPro)'!$K$5</f>
        <v>23.287177287891641</v>
      </c>
      <c r="J20" s="130">
        <f>'Scenario 2'!K28/'LCA inventary (SimaPro)'!$K$5</f>
        <v>11.392478332668894</v>
      </c>
      <c r="K20" s="130">
        <f>'Scenario 2'!L28/'LCA inventary (SimaPro)'!$K$5</f>
        <v>45.874131114078665</v>
      </c>
      <c r="L20" s="130">
        <f>'Scenario 2'!M28/'LCA inventary (SimaPro)'!$K$5</f>
        <v>45.874131114078665</v>
      </c>
      <c r="M20" s="130">
        <f>'Scenario 2'!N28/'LCA inventary (SimaPro)'!$K$5</f>
        <v>45.874131114078665</v>
      </c>
    </row>
    <row r="21" spans="2:18" ht="17.25" x14ac:dyDescent="0.25">
      <c r="B21" s="11" t="s">
        <v>352</v>
      </c>
      <c r="C21" s="130">
        <f>'Scenario 2'!D30/'LCA inventary (SimaPro)'!$K$5</f>
        <v>38.173661230471872</v>
      </c>
      <c r="D21" s="130">
        <f>'Scenario 2'!E30/'LCA inventary (SimaPro)'!$K$5</f>
        <v>0</v>
      </c>
      <c r="E21" s="130">
        <f>'Scenario 2'!F30/'LCA inventary (SimaPro)'!$K$5</f>
        <v>15.534465353267478</v>
      </c>
      <c r="F21" s="130">
        <f>'Scenario 2'!G30/'LCA inventary (SimaPro)'!$K$5</f>
        <v>53.708126583739357</v>
      </c>
      <c r="G21" s="130">
        <f>'Scenario 2'!H30/'LCA inventary (SimaPro)'!$K$5</f>
        <v>15.013018815501589</v>
      </c>
      <c r="H21" s="130">
        <f>'Scenario 2'!I30/'LCA inventary (SimaPro)'!$K$5</f>
        <v>38.695107768237769</v>
      </c>
      <c r="I21" s="130">
        <f>'Scenario 2'!J30/'LCA inventary (SimaPro)'!$K$5</f>
        <v>30.413031058285888</v>
      </c>
      <c r="J21" s="130">
        <f>'Scenario 2'!K30/'LCA inventary (SimaPro)'!$K$5</f>
        <v>14.878565705018408</v>
      </c>
      <c r="K21" s="130">
        <f>'Scenario 2'!L30/'LCA inventary (SimaPro)'!$K$5</f>
        <v>8.2820767099518751</v>
      </c>
      <c r="L21" s="130">
        <f>'Scenario 2'!M30/'LCA inventary (SimaPro)'!$K$5</f>
        <v>8.2820767099518751</v>
      </c>
      <c r="M21" s="130">
        <f>'Scenario 2'!N30/'LCA inventary (SimaPro)'!$K$5</f>
        <v>8.2820767099518751</v>
      </c>
      <c r="O21" s="26"/>
    </row>
    <row r="22" spans="2:18" ht="17.25" x14ac:dyDescent="0.25">
      <c r="B22" s="11" t="s">
        <v>353</v>
      </c>
      <c r="C22" s="130">
        <f>'Scenario 2'!D32/'LCA inventary (SimaPro)'!$K$5</f>
        <v>24.812879799806719</v>
      </c>
      <c r="D22" s="130">
        <f>'Scenario 2'!E32/'LCA inventary (SimaPro)'!$K$5</f>
        <v>0</v>
      </c>
      <c r="E22" s="130">
        <f>'Scenario 2'!F32/'LCA inventary (SimaPro)'!$K$5</f>
        <v>0.44268772178891946</v>
      </c>
      <c r="F22" s="130">
        <f>'Scenario 2'!G32/'LCA inventary (SimaPro)'!$K$5</f>
        <v>25.255567521595641</v>
      </c>
      <c r="G22" s="130">
        <f>'Scenario 2'!H32/'LCA inventary (SimaPro)'!$K$5</f>
        <v>2.5255567521595643</v>
      </c>
      <c r="H22" s="130">
        <f>'Scenario 2'!I32/'LCA inventary (SimaPro)'!$K$5</f>
        <v>22.730010769436078</v>
      </c>
      <c r="I22" s="130">
        <f>'Scenario 2'!J32/'LCA inventary (SimaPro)'!$K$5</f>
        <v>0.86668418421341775</v>
      </c>
      <c r="J22" s="130">
        <f>'Scenario 2'!K32/'LCA inventary (SimaPro)'!$K$5</f>
        <v>0.42399646242449834</v>
      </c>
      <c r="K22" s="130">
        <f>'Scenario 2'!L32/'LCA inventary (SimaPro)'!$K$5</f>
        <v>21.863326585222659</v>
      </c>
      <c r="L22" s="130">
        <f>'Scenario 2'!M32/'LCA inventary (SimaPro)'!$K$5</f>
        <v>21.863326585222659</v>
      </c>
      <c r="M22" s="130">
        <f>'Scenario 2'!N32/'LCA inventary (SimaPro)'!$K$5</f>
        <v>21.863326585222659</v>
      </c>
      <c r="O22" s="26"/>
    </row>
    <row r="23" spans="2:18" ht="17.25" x14ac:dyDescent="0.25">
      <c r="B23" s="11" t="s">
        <v>354</v>
      </c>
      <c r="C23" s="130">
        <f>'Scenario 2'!D34/'LCA inventary (SimaPro)'!$K$5</f>
        <v>0.56664028388981691</v>
      </c>
      <c r="D23" s="130">
        <f>'Scenario 2'!E34/'LCA inventary (SimaPro)'!$K$5</f>
        <v>0</v>
      </c>
      <c r="E23" s="130">
        <f>'Scenario 2'!F34/'LCA inventary (SimaPro)'!$K$5</f>
        <v>0.23466034675480626</v>
      </c>
      <c r="F23" s="130">
        <f>'Scenario 2'!G34/'LCA inventary (SimaPro)'!$K$5</f>
        <v>0.8013006306446232</v>
      </c>
      <c r="G23" s="130">
        <f>'Scenario 2'!H34/'LCA inventary (SimaPro)'!$K$5</f>
        <v>6.7532476094721156E-2</v>
      </c>
      <c r="H23" s="130">
        <f>'Scenario 2'!I34/'LCA inventary (SimaPro)'!$K$5</f>
        <v>0.73376815454990207</v>
      </c>
      <c r="I23" s="130">
        <f>'Scenario 2'!J34/'LCA inventary (SimaPro)'!$K$5</f>
        <v>0.45941281220218733</v>
      </c>
      <c r="J23" s="130">
        <f>'Scenario 2'!K34/'LCA inventary (SimaPro)'!$K$5</f>
        <v>0.22475246544738106</v>
      </c>
      <c r="K23" s="130">
        <f>'Scenario 2'!L34/'LCA inventary (SimaPro)'!$K$5</f>
        <v>0.27435534234771464</v>
      </c>
      <c r="L23" s="130">
        <f>'Scenario 2'!M34/'LCA inventary (SimaPro)'!$K$5</f>
        <v>0.27435534234771464</v>
      </c>
      <c r="M23" s="130">
        <f>'Scenario 2'!N34/'LCA inventary (SimaPro)'!$K$5</f>
        <v>16.523862478082059</v>
      </c>
      <c r="O23" s="26"/>
    </row>
    <row r="24" spans="2:18" ht="17.25" x14ac:dyDescent="0.25">
      <c r="B24" s="11" t="s">
        <v>355</v>
      </c>
      <c r="C24" s="130">
        <f>'Scenario 2'!D36/'LCA inventary (SimaPro)'!$K$5</f>
        <v>0</v>
      </c>
      <c r="D24" s="130">
        <f>'Scenario 2'!E36/'LCA inventary (SimaPro)'!$K$5</f>
        <v>0</v>
      </c>
      <c r="E24" s="130">
        <f>'Scenario 2'!F36/'LCA inventary (SimaPro)'!$K$5</f>
        <v>1.2305549731070222</v>
      </c>
      <c r="F24" s="130">
        <f>'Scenario 2'!G36/'LCA inventary (SimaPro)'!$K$5</f>
        <v>1.2305549731070222</v>
      </c>
      <c r="G24" s="130">
        <f>'Scenario 2'!H36/'LCA inventary (SimaPro)'!$K$5</f>
        <v>0</v>
      </c>
      <c r="H24" s="130">
        <f>'Scenario 2'!I36/'LCA inventary (SimaPro)'!$K$5</f>
        <v>48.183063613657133</v>
      </c>
      <c r="I24" s="130">
        <f>'Scenario 2'!J36/'LCA inventary (SimaPro)'!$K$5</f>
        <v>2.4091531806828588</v>
      </c>
      <c r="J24" s="130">
        <f>'Scenario 2'!K36/'LCA inventary (SimaPro)'!$K$5</f>
        <v>1.1785982075758366</v>
      </c>
      <c r="K24" s="130">
        <f>'Scenario 2'!L36/'LCA inventary (SimaPro)'!$K$5</f>
        <v>45.773910432974276</v>
      </c>
      <c r="L24" s="130">
        <f>'Scenario 2'!M36/'LCA inventary (SimaPro)'!$K$5</f>
        <v>45.773910432974276</v>
      </c>
      <c r="M24" s="130">
        <f>'Scenario 2'!N36/'LCA inventary (SimaPro)'!$K$5</f>
        <v>45.773910432974276</v>
      </c>
      <c r="O24" s="26"/>
    </row>
    <row r="25" spans="2:18" ht="17.25" x14ac:dyDescent="0.25">
      <c r="B25" s="11" t="s">
        <v>356</v>
      </c>
      <c r="C25" s="130">
        <f>'Scenario 2'!D38/'LCA inventary (SimaPro)'!$K$5</f>
        <v>0</v>
      </c>
      <c r="D25" s="130">
        <f>'Scenario 2'!E38/'LCA inventary (SimaPro)'!$K$5</f>
        <v>0</v>
      </c>
      <c r="E25" s="130">
        <f>'Scenario 2'!F38/'LCA inventary (SimaPro)'!$K$5</f>
        <v>0.53078096518929574</v>
      </c>
      <c r="F25" s="130">
        <f>'Scenario 2'!G38/'LCA inventary (SimaPro)'!$K$5</f>
        <v>0.53078096518929574</v>
      </c>
      <c r="G25" s="130">
        <f>'Scenario 2'!H38/'LCA inventary (SimaPro)'!$K$5</f>
        <v>0</v>
      </c>
      <c r="H25" s="130">
        <f>'Scenario 2'!I38/'LCA inventary (SimaPro)'!$K$5</f>
        <v>20.783023570300852</v>
      </c>
      <c r="I25" s="130">
        <f>'Scenario 2'!J38/'LCA inventary (SimaPro)'!$K$5</f>
        <v>1.0391511785150436</v>
      </c>
      <c r="J25" s="130">
        <f>'Scenario 2'!K38/'LCA inventary (SimaPro)'!$K$5</f>
        <v>0.50837021332574772</v>
      </c>
      <c r="K25" s="130">
        <f>'Scenario 2'!L38/'LCA inventary (SimaPro)'!$K$5</f>
        <v>19.743872391785807</v>
      </c>
      <c r="L25" s="130">
        <f>'Scenario 2'!M38/'LCA inventary (SimaPro)'!$K$5</f>
        <v>19.743872391785807</v>
      </c>
      <c r="M25" s="130">
        <f>'Scenario 2'!N38/'LCA inventary (SimaPro)'!$K$5</f>
        <v>19.743872391785807</v>
      </c>
      <c r="O25" s="26"/>
    </row>
    <row r="26" spans="2:18" ht="17.25" x14ac:dyDescent="0.25">
      <c r="B26" s="11" t="s">
        <v>357</v>
      </c>
      <c r="C26" s="130">
        <f>'Scenario 2'!D40/'LCA inventary (SimaPro)'!$K$5</f>
        <v>0</v>
      </c>
      <c r="D26" s="130">
        <f>'Scenario 2'!E40/'LCA inventary (SimaPro)'!$K$5</f>
        <v>0</v>
      </c>
      <c r="E26" s="130">
        <f>'Scenario 2'!F40/'LCA inventary (SimaPro)'!$K$5</f>
        <v>0.31894461585365758</v>
      </c>
      <c r="F26" s="130">
        <f>'Scenario 2'!G40/'LCA inventary (SimaPro)'!$K$5</f>
        <v>0.31894461585365758</v>
      </c>
      <c r="G26" s="130">
        <f>'Scenario 2'!H40/'LCA inventary (SimaPro)'!$K$5</f>
        <v>0</v>
      </c>
      <c r="H26" s="130">
        <f>'Scenario 2'!I40/'LCA inventary (SimaPro)'!$K$5</f>
        <v>12.488453625203203</v>
      </c>
      <c r="I26" s="130">
        <f>'Scenario 2'!J40/'LCA inventary (SimaPro)'!$K$5</f>
        <v>0.62442268126016065</v>
      </c>
      <c r="J26" s="130">
        <f>'Scenario 2'!K40/'LCA inventary (SimaPro)'!$K$5</f>
        <v>0.30547806540650313</v>
      </c>
      <c r="K26" s="130">
        <f>'Scenario 2'!L40/'LCA inventary (SimaPro)'!$K$5</f>
        <v>11.864030943943042</v>
      </c>
      <c r="L26" s="130">
        <f>'Scenario 2'!M40/'LCA inventary (SimaPro)'!$K$5</f>
        <v>11.864030943943042</v>
      </c>
      <c r="M26" s="130">
        <f>'Scenario 2'!N40/'LCA inventary (SimaPro)'!$K$5</f>
        <v>11.864030943943042</v>
      </c>
      <c r="O26" s="26"/>
    </row>
    <row r="27" spans="2:18" ht="15.75" thickBot="1" x14ac:dyDescent="0.3">
      <c r="B27" s="6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Q27" s="132"/>
      <c r="R27" s="5"/>
    </row>
    <row r="28" spans="2:18" s="142" customFormat="1" ht="15.75" thickBot="1" x14ac:dyDescent="0.3">
      <c r="B28" s="261" t="s">
        <v>399</v>
      </c>
      <c r="C28" s="262"/>
      <c r="D28" s="262"/>
      <c r="E28" s="262"/>
      <c r="F28" s="262"/>
      <c r="G28" s="262"/>
      <c r="H28" s="263"/>
      <c r="I28" s="165"/>
      <c r="J28" s="166"/>
      <c r="K28" s="165"/>
      <c r="L28" s="165"/>
      <c r="M28" s="165"/>
    </row>
    <row r="29" spans="2:18" x14ac:dyDescent="0.25">
      <c r="B29" s="6"/>
      <c r="C29" s="117"/>
      <c r="D29" s="117"/>
      <c r="E29" s="117"/>
      <c r="F29" s="117"/>
      <c r="G29" s="117"/>
      <c r="H29" s="117"/>
      <c r="I29" s="117"/>
      <c r="J29" s="26"/>
      <c r="K29" s="117"/>
      <c r="L29" s="117"/>
      <c r="M29" s="117"/>
    </row>
    <row r="30" spans="2:18" x14ac:dyDescent="0.25">
      <c r="B30" s="122" t="s">
        <v>336</v>
      </c>
      <c r="C30" s="122" t="s">
        <v>328</v>
      </c>
      <c r="D30" s="122" t="s">
        <v>337</v>
      </c>
      <c r="E30" s="257" t="s">
        <v>392</v>
      </c>
      <c r="F30" s="257"/>
      <c r="G30" s="257"/>
      <c r="H30" s="257"/>
      <c r="I30" s="257"/>
      <c r="J30" s="257"/>
      <c r="K30" s="257"/>
      <c r="L30" s="257"/>
      <c r="M30" s="257"/>
    </row>
    <row r="31" spans="2:18" ht="17.25" x14ac:dyDescent="0.25">
      <c r="B31" s="136" t="s">
        <v>437</v>
      </c>
      <c r="C31" s="135">
        <f>C16</f>
        <v>7.4557932090765382</v>
      </c>
      <c r="D31" s="11" t="s">
        <v>450</v>
      </c>
      <c r="E31" s="239" t="s">
        <v>437</v>
      </c>
      <c r="F31" s="239"/>
      <c r="G31" s="239"/>
      <c r="H31" s="239"/>
      <c r="I31" s="239"/>
      <c r="J31" s="239"/>
      <c r="K31" s="239"/>
      <c r="L31" s="239"/>
      <c r="M31" s="239"/>
    </row>
    <row r="32" spans="2:18" ht="17.25" x14ac:dyDescent="0.25">
      <c r="B32" s="123" t="s">
        <v>209</v>
      </c>
      <c r="C32" s="135">
        <f>C6</f>
        <v>43802.785103324655</v>
      </c>
      <c r="D32" s="11" t="s">
        <v>452</v>
      </c>
      <c r="E32" s="239" t="s">
        <v>453</v>
      </c>
      <c r="F32" s="239"/>
      <c r="G32" s="239"/>
      <c r="H32" s="239"/>
      <c r="I32" s="239"/>
      <c r="J32" s="239"/>
      <c r="K32" s="239"/>
      <c r="L32" s="239"/>
      <c r="M32" s="239"/>
    </row>
    <row r="33" spans="1:14" ht="17.25" x14ac:dyDescent="0.25">
      <c r="B33" s="124" t="s">
        <v>359</v>
      </c>
      <c r="C33" s="135">
        <f>C10</f>
        <v>5.5918449068074034</v>
      </c>
      <c r="D33" s="11" t="s">
        <v>452</v>
      </c>
      <c r="E33" s="253" t="s">
        <v>454</v>
      </c>
      <c r="F33" s="254"/>
      <c r="G33" s="254"/>
      <c r="H33" s="254"/>
      <c r="I33" s="254"/>
      <c r="J33" s="254"/>
      <c r="K33" s="254"/>
      <c r="L33" s="254"/>
      <c r="M33" s="255"/>
    </row>
    <row r="34" spans="1:14" ht="18" x14ac:dyDescent="0.25">
      <c r="B34" s="143" t="s">
        <v>468</v>
      </c>
      <c r="C34" s="141">
        <f>C7</f>
        <v>139.7961226701851</v>
      </c>
      <c r="D34" s="119" t="s">
        <v>469</v>
      </c>
      <c r="E34" s="276" t="s">
        <v>467</v>
      </c>
      <c r="F34" s="277"/>
      <c r="G34" s="277"/>
      <c r="H34" s="277"/>
      <c r="I34" s="277"/>
      <c r="J34" s="277"/>
      <c r="K34" s="277"/>
      <c r="L34" s="277"/>
      <c r="M34" s="278"/>
    </row>
    <row r="35" spans="1:14" ht="17.25" x14ac:dyDescent="0.25">
      <c r="A35" s="132">
        <f>C35+C36</f>
        <v>102.16828707086168</v>
      </c>
      <c r="B35" s="123" t="s">
        <v>360</v>
      </c>
      <c r="C35" s="141">
        <f>'Scenario 2'!C102/K5</f>
        <v>101.99525110016705</v>
      </c>
      <c r="D35" s="11" t="s">
        <v>451</v>
      </c>
      <c r="E35" s="253" t="s">
        <v>466</v>
      </c>
      <c r="F35" s="254"/>
      <c r="G35" s="254"/>
      <c r="H35" s="254"/>
      <c r="I35" s="254"/>
      <c r="J35" s="254"/>
      <c r="K35" s="254"/>
      <c r="L35" s="254"/>
      <c r="M35" s="255"/>
    </row>
    <row r="36" spans="1:14" ht="17.25" x14ac:dyDescent="0.25">
      <c r="B36" s="123" t="s">
        <v>406</v>
      </c>
      <c r="C36" s="135">
        <f>((('Scenario 2'!C132+'Scenario 2'!C133+'Scenario 2'!C135)/1000)*8)/K5</f>
        <v>0.17303597069463292</v>
      </c>
      <c r="D36" s="11" t="s">
        <v>451</v>
      </c>
      <c r="E36" s="253" t="s">
        <v>466</v>
      </c>
      <c r="F36" s="254"/>
      <c r="G36" s="254"/>
      <c r="H36" s="254"/>
      <c r="I36" s="254"/>
      <c r="J36" s="254"/>
      <c r="K36" s="254"/>
      <c r="L36" s="254"/>
      <c r="M36" s="255"/>
    </row>
    <row r="37" spans="1:14" x14ac:dyDescent="0.25">
      <c r="B37" s="134" t="s">
        <v>338</v>
      </c>
      <c r="C37" s="134" t="s">
        <v>328</v>
      </c>
      <c r="D37" s="134" t="s">
        <v>337</v>
      </c>
      <c r="E37" s="264" t="s">
        <v>392</v>
      </c>
      <c r="F37" s="265"/>
      <c r="G37" s="265"/>
      <c r="H37" s="265"/>
      <c r="I37" s="265"/>
      <c r="J37" s="265"/>
      <c r="K37" s="265"/>
      <c r="L37" s="265"/>
      <c r="M37" s="266"/>
    </row>
    <row r="38" spans="1:14" ht="17.25" x14ac:dyDescent="0.25">
      <c r="B38" s="137" t="s">
        <v>434</v>
      </c>
      <c r="C38" s="135">
        <f>H16</f>
        <v>46.598707556728364</v>
      </c>
      <c r="D38" s="11" t="s">
        <v>450</v>
      </c>
      <c r="E38" s="253" t="s">
        <v>456</v>
      </c>
      <c r="F38" s="254"/>
      <c r="G38" s="254"/>
      <c r="H38" s="254"/>
      <c r="I38" s="254"/>
      <c r="J38" s="254"/>
      <c r="K38" s="254"/>
      <c r="L38" s="254"/>
      <c r="M38" s="255"/>
    </row>
    <row r="39" spans="1:14" ht="17.25" x14ac:dyDescent="0.25">
      <c r="B39" s="30" t="s">
        <v>361</v>
      </c>
      <c r="C39" s="135">
        <f>H18</f>
        <v>93.197415113456728</v>
      </c>
      <c r="D39" s="11" t="s">
        <v>452</v>
      </c>
      <c r="E39" s="253" t="s">
        <v>39</v>
      </c>
      <c r="F39" s="254"/>
      <c r="G39" s="254"/>
      <c r="H39" s="254"/>
      <c r="I39" s="254"/>
      <c r="J39" s="254"/>
      <c r="K39" s="254"/>
      <c r="L39" s="254"/>
      <c r="M39" s="255"/>
    </row>
    <row r="40" spans="1:14" x14ac:dyDescent="0.25">
      <c r="B40" s="125" t="s">
        <v>397</v>
      </c>
      <c r="C40" s="125" t="s">
        <v>328</v>
      </c>
      <c r="D40" s="125" t="s">
        <v>337</v>
      </c>
      <c r="E40" s="267" t="s">
        <v>392</v>
      </c>
      <c r="F40" s="268"/>
      <c r="G40" s="268"/>
      <c r="H40" s="268"/>
      <c r="I40" s="268"/>
      <c r="J40" s="268"/>
      <c r="K40" s="268"/>
      <c r="L40" s="268"/>
      <c r="M40" s="269"/>
    </row>
    <row r="41" spans="1:14" ht="17.25" x14ac:dyDescent="0.25">
      <c r="B41" s="16" t="s">
        <v>362</v>
      </c>
      <c r="C41" s="135">
        <f>G17</f>
        <v>27959.224534037021</v>
      </c>
      <c r="D41" s="11" t="s">
        <v>452</v>
      </c>
      <c r="E41" s="253" t="s">
        <v>209</v>
      </c>
      <c r="F41" s="254"/>
      <c r="G41" s="254"/>
      <c r="H41" s="254"/>
      <c r="I41" s="254"/>
      <c r="J41" s="254"/>
      <c r="K41" s="254"/>
      <c r="L41" s="254"/>
      <c r="M41" s="255"/>
    </row>
    <row r="42" spans="1:14" ht="18" x14ac:dyDescent="0.25">
      <c r="B42" s="12" t="s">
        <v>156</v>
      </c>
      <c r="C42" s="135">
        <f>C34*0.38</f>
        <v>53.122526614670335</v>
      </c>
      <c r="D42" s="11" t="s">
        <v>452</v>
      </c>
      <c r="E42" s="253" t="s">
        <v>599</v>
      </c>
      <c r="F42" s="254"/>
      <c r="G42" s="254"/>
      <c r="H42" s="254"/>
      <c r="I42" s="254"/>
      <c r="J42" s="254"/>
      <c r="K42" s="254"/>
      <c r="L42" s="254"/>
      <c r="M42" s="255"/>
    </row>
    <row r="43" spans="1:14" ht="17.25" x14ac:dyDescent="0.25">
      <c r="B43" s="16" t="s">
        <v>431</v>
      </c>
      <c r="C43" s="135">
        <f>G22</f>
        <v>2.5255567521595643</v>
      </c>
      <c r="D43" s="11" t="s">
        <v>452</v>
      </c>
      <c r="E43" s="253" t="s">
        <v>455</v>
      </c>
      <c r="F43" s="254"/>
      <c r="G43" s="254"/>
      <c r="H43" s="254"/>
      <c r="I43" s="254"/>
      <c r="J43" s="254"/>
      <c r="K43" s="254"/>
      <c r="L43" s="254"/>
      <c r="M43" s="255"/>
      <c r="N43" s="26"/>
    </row>
    <row r="44" spans="1:14" x14ac:dyDescent="0.25">
      <c r="B44" s="31" t="s">
        <v>400</v>
      </c>
      <c r="C44" s="31" t="s">
        <v>328</v>
      </c>
      <c r="D44" s="31" t="s">
        <v>337</v>
      </c>
      <c r="E44" s="273" t="s">
        <v>392</v>
      </c>
      <c r="F44" s="274"/>
      <c r="G44" s="274"/>
      <c r="H44" s="274"/>
      <c r="I44" s="274"/>
      <c r="J44" s="274"/>
      <c r="K44" s="274"/>
      <c r="L44" s="274"/>
      <c r="M44" s="275"/>
      <c r="N44" s="26"/>
    </row>
    <row r="45" spans="1:14" ht="17.25" hidden="1" x14ac:dyDescent="0.25">
      <c r="B45" s="145" t="s">
        <v>35</v>
      </c>
      <c r="C45" s="135">
        <f>C21</f>
        <v>38.173661230471872</v>
      </c>
      <c r="D45" s="11" t="s">
        <v>452</v>
      </c>
      <c r="E45" s="253" t="s">
        <v>471</v>
      </c>
      <c r="F45" s="254"/>
      <c r="G45" s="254"/>
      <c r="H45" s="254"/>
      <c r="I45" s="254"/>
      <c r="J45" s="254"/>
      <c r="K45" s="254"/>
      <c r="L45" s="254"/>
      <c r="M45" s="255"/>
      <c r="N45" s="26"/>
    </row>
    <row r="46" spans="1:14" ht="17.25" hidden="1" x14ac:dyDescent="0.25">
      <c r="B46" s="145" t="s">
        <v>40</v>
      </c>
      <c r="C46" s="135">
        <f>C23</f>
        <v>0.56664028388981691</v>
      </c>
      <c r="D46" s="11" t="s">
        <v>452</v>
      </c>
      <c r="E46" s="253" t="s">
        <v>472</v>
      </c>
      <c r="F46" s="254"/>
      <c r="G46" s="254"/>
      <c r="H46" s="254"/>
      <c r="I46" s="254"/>
      <c r="J46" s="254"/>
      <c r="K46" s="254"/>
      <c r="L46" s="254"/>
      <c r="M46" s="255"/>
      <c r="N46" s="26"/>
    </row>
    <row r="47" spans="1:14" ht="17.25" x14ac:dyDescent="0.25">
      <c r="A47" s="140"/>
      <c r="B47" s="145" t="s">
        <v>416</v>
      </c>
      <c r="C47" s="135">
        <f>($C$16*Calculations!C26)/1000</f>
        <v>4.1752441970828613E-2</v>
      </c>
      <c r="D47" s="11" t="s">
        <v>452</v>
      </c>
      <c r="E47" s="239" t="s">
        <v>39</v>
      </c>
      <c r="F47" s="239"/>
      <c r="G47" s="239"/>
      <c r="H47" s="239"/>
      <c r="I47" s="239"/>
      <c r="J47" s="239"/>
      <c r="K47" s="239"/>
      <c r="L47" s="239"/>
      <c r="M47" s="239"/>
      <c r="N47" s="26"/>
    </row>
    <row r="48" spans="1:14" ht="17.25" x14ac:dyDescent="0.25">
      <c r="A48" s="140"/>
      <c r="B48" s="145" t="s">
        <v>417</v>
      </c>
      <c r="C48" s="135">
        <f>($C$16*Calculations!C27)/1000</f>
        <v>0.14613354689790015</v>
      </c>
      <c r="D48" s="11" t="s">
        <v>452</v>
      </c>
      <c r="E48" s="253" t="s">
        <v>39</v>
      </c>
      <c r="F48" s="254"/>
      <c r="G48" s="254"/>
      <c r="H48" s="254"/>
      <c r="I48" s="254"/>
      <c r="J48" s="254"/>
      <c r="K48" s="254"/>
      <c r="L48" s="254"/>
      <c r="M48" s="255"/>
      <c r="N48" s="26"/>
    </row>
    <row r="49" spans="1:18" ht="17.25" x14ac:dyDescent="0.25">
      <c r="A49" s="140"/>
      <c r="B49" s="145" t="s">
        <v>418</v>
      </c>
      <c r="C49" s="135">
        <f>($C$16*Calculations!C28)/1000</f>
        <v>3.0568752157213809E-4</v>
      </c>
      <c r="D49" s="11" t="s">
        <v>452</v>
      </c>
      <c r="E49" s="253" t="s">
        <v>39</v>
      </c>
      <c r="F49" s="254"/>
      <c r="G49" s="254"/>
      <c r="H49" s="254"/>
      <c r="I49" s="254"/>
      <c r="J49" s="254"/>
      <c r="K49" s="254"/>
      <c r="L49" s="254"/>
      <c r="M49" s="255"/>
      <c r="N49" s="26"/>
    </row>
    <row r="50" spans="1:18" x14ac:dyDescent="0.25">
      <c r="B50" s="6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</row>
    <row r="51" spans="1:18" x14ac:dyDescent="0.25">
      <c r="B51" s="256" t="s">
        <v>372</v>
      </c>
      <c r="C51" s="256"/>
      <c r="D51" s="256"/>
      <c r="E51" s="256"/>
      <c r="F51" s="256"/>
      <c r="G51" s="256"/>
      <c r="H51" s="256"/>
      <c r="I51" s="131"/>
      <c r="J51" s="131"/>
      <c r="K51" s="131"/>
      <c r="L51" s="131"/>
      <c r="M51" s="131"/>
    </row>
    <row r="52" spans="1:18" x14ac:dyDescent="0.25">
      <c r="B52" s="85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</row>
    <row r="53" spans="1:18" x14ac:dyDescent="0.25">
      <c r="B53" s="122" t="s">
        <v>336</v>
      </c>
      <c r="C53" s="122" t="s">
        <v>328</v>
      </c>
      <c r="D53" s="122" t="s">
        <v>337</v>
      </c>
      <c r="E53" s="257" t="s">
        <v>392</v>
      </c>
      <c r="F53" s="257"/>
      <c r="G53" s="257"/>
      <c r="H53" s="257"/>
      <c r="I53" s="257"/>
      <c r="J53" s="257"/>
      <c r="K53" s="257"/>
      <c r="L53" s="257"/>
      <c r="M53" s="257"/>
    </row>
    <row r="54" spans="1:18" ht="17.25" x14ac:dyDescent="0.25">
      <c r="B54" s="123" t="s">
        <v>432</v>
      </c>
      <c r="C54" s="135">
        <f>C38</f>
        <v>46.598707556728364</v>
      </c>
      <c r="D54" s="11" t="s">
        <v>501</v>
      </c>
      <c r="E54" s="239" t="s">
        <v>498</v>
      </c>
      <c r="F54" s="239"/>
      <c r="G54" s="239"/>
      <c r="H54" s="239"/>
      <c r="I54" s="239"/>
      <c r="J54" s="239"/>
      <c r="K54" s="239"/>
      <c r="L54" s="239"/>
      <c r="M54" s="239"/>
    </row>
    <row r="55" spans="1:18" ht="15.75" thickBot="1" x14ac:dyDescent="0.3">
      <c r="B55" s="85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</row>
    <row r="56" spans="1:18" s="142" customFormat="1" ht="15.75" thickBot="1" x14ac:dyDescent="0.3">
      <c r="B56" s="261" t="s">
        <v>541</v>
      </c>
      <c r="C56" s="262"/>
      <c r="D56" s="262"/>
      <c r="E56" s="262"/>
      <c r="F56" s="262"/>
      <c r="G56" s="262"/>
      <c r="H56" s="263"/>
      <c r="I56" s="167"/>
      <c r="J56" s="166"/>
      <c r="K56" s="167"/>
      <c r="L56" s="167"/>
      <c r="M56" s="167"/>
    </row>
    <row r="57" spans="1:18" x14ac:dyDescent="0.25">
      <c r="B57" s="85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</row>
    <row r="58" spans="1:18" x14ac:dyDescent="0.25">
      <c r="B58" s="122" t="s">
        <v>336</v>
      </c>
      <c r="C58" s="122" t="s">
        <v>328</v>
      </c>
      <c r="D58" s="122" t="s">
        <v>337</v>
      </c>
      <c r="E58" s="257" t="s">
        <v>392</v>
      </c>
      <c r="F58" s="257"/>
      <c r="G58" s="257"/>
      <c r="H58" s="257"/>
      <c r="I58" s="257"/>
      <c r="J58" s="257"/>
      <c r="K58" s="257"/>
      <c r="L58" s="257"/>
      <c r="M58" s="257"/>
    </row>
    <row r="59" spans="1:18" ht="17.25" x14ac:dyDescent="0.25">
      <c r="B59" s="136" t="s">
        <v>434</v>
      </c>
      <c r="C59" s="135">
        <f>C38</f>
        <v>46.598707556728364</v>
      </c>
      <c r="D59" s="11" t="s">
        <v>450</v>
      </c>
      <c r="E59" s="253" t="s">
        <v>456</v>
      </c>
      <c r="F59" s="254"/>
      <c r="G59" s="254"/>
      <c r="H59" s="254"/>
      <c r="I59" s="254"/>
      <c r="J59" s="254"/>
      <c r="K59" s="254"/>
      <c r="L59" s="254"/>
      <c r="M59" s="255"/>
    </row>
    <row r="60" spans="1:18" ht="17.25" x14ac:dyDescent="0.25">
      <c r="B60" s="123" t="s">
        <v>542</v>
      </c>
      <c r="C60" s="135">
        <f>'Scenario 2'!C118/K5</f>
        <v>46.598707556728364</v>
      </c>
      <c r="D60" s="11" t="s">
        <v>451</v>
      </c>
      <c r="E60" s="253" t="s">
        <v>466</v>
      </c>
      <c r="F60" s="254"/>
      <c r="G60" s="254"/>
      <c r="H60" s="254"/>
      <c r="I60" s="254"/>
      <c r="J60" s="254"/>
      <c r="K60" s="254"/>
      <c r="L60" s="254"/>
      <c r="M60" s="255"/>
    </row>
    <row r="61" spans="1:18" ht="17.25" x14ac:dyDescent="0.25">
      <c r="A61" s="132">
        <f>C60+C61</f>
        <v>46.713864835025824</v>
      </c>
      <c r="B61" s="123" t="s">
        <v>407</v>
      </c>
      <c r="C61" s="135">
        <f>(((+'Scenario 2'!C134+'Scenario 2'!C136)/1000)*8)/K5</f>
        <v>0.11515727829745948</v>
      </c>
      <c r="D61" s="11" t="s">
        <v>451</v>
      </c>
      <c r="E61" s="253" t="s">
        <v>466</v>
      </c>
      <c r="F61" s="254"/>
      <c r="G61" s="254"/>
      <c r="H61" s="254"/>
      <c r="I61" s="254"/>
      <c r="J61" s="254"/>
      <c r="K61" s="254"/>
      <c r="L61" s="254"/>
      <c r="M61" s="255"/>
    </row>
    <row r="62" spans="1:18" x14ac:dyDescent="0.25">
      <c r="B62" s="134" t="s">
        <v>401</v>
      </c>
      <c r="C62" s="134" t="s">
        <v>328</v>
      </c>
      <c r="D62" s="134" t="s">
        <v>337</v>
      </c>
      <c r="E62" s="264" t="s">
        <v>392</v>
      </c>
      <c r="F62" s="265"/>
      <c r="G62" s="265"/>
      <c r="H62" s="265"/>
      <c r="I62" s="265"/>
      <c r="J62" s="265"/>
      <c r="K62" s="265"/>
      <c r="L62" s="265"/>
      <c r="M62" s="266"/>
    </row>
    <row r="63" spans="1:18" ht="17.25" x14ac:dyDescent="0.25">
      <c r="B63" s="137" t="s">
        <v>435</v>
      </c>
      <c r="C63" s="135">
        <f>K6</f>
        <v>22.315603285499915</v>
      </c>
      <c r="D63" s="11" t="s">
        <v>450</v>
      </c>
      <c r="E63" s="253" t="s">
        <v>458</v>
      </c>
      <c r="F63" s="254"/>
      <c r="G63" s="254"/>
      <c r="H63" s="254"/>
      <c r="I63" s="254"/>
      <c r="J63" s="254"/>
      <c r="K63" s="254"/>
      <c r="L63" s="254"/>
      <c r="M63" s="255"/>
    </row>
    <row r="64" spans="1:18" ht="17.25" x14ac:dyDescent="0.25">
      <c r="B64" s="137" t="s">
        <v>436</v>
      </c>
      <c r="C64" s="135">
        <f>K16</f>
        <v>0.98375049286426552</v>
      </c>
      <c r="D64" s="11" t="s">
        <v>450</v>
      </c>
      <c r="E64" s="253" t="s">
        <v>457</v>
      </c>
      <c r="F64" s="254"/>
      <c r="G64" s="254"/>
      <c r="H64" s="254"/>
      <c r="I64" s="254"/>
      <c r="J64" s="254"/>
      <c r="K64" s="254"/>
      <c r="L64" s="254"/>
      <c r="M64" s="255"/>
      <c r="R64" s="26"/>
    </row>
    <row r="65" spans="1:18" ht="15.75" thickBot="1" x14ac:dyDescent="0.3">
      <c r="B65" s="85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</row>
    <row r="66" spans="1:18" s="142" customFormat="1" ht="15.75" thickBot="1" x14ac:dyDescent="0.3">
      <c r="B66" s="261" t="s">
        <v>394</v>
      </c>
      <c r="C66" s="262"/>
      <c r="D66" s="262"/>
      <c r="E66" s="262"/>
      <c r="F66" s="262"/>
      <c r="G66" s="262"/>
      <c r="H66" s="263"/>
      <c r="I66" s="167"/>
      <c r="J66" s="166"/>
      <c r="K66" s="167"/>
      <c r="L66" s="167"/>
      <c r="M66" s="167"/>
    </row>
    <row r="67" spans="1:18" x14ac:dyDescent="0.25">
      <c r="B67" s="128"/>
      <c r="C67" s="128"/>
      <c r="D67" s="128"/>
      <c r="E67" s="128"/>
      <c r="F67" s="128"/>
      <c r="G67" s="128"/>
      <c r="H67" s="128"/>
      <c r="I67" s="131"/>
      <c r="J67" s="131"/>
      <c r="K67" s="131"/>
      <c r="L67" s="131"/>
      <c r="M67" s="131"/>
      <c r="R67" s="139"/>
    </row>
    <row r="68" spans="1:18" x14ac:dyDescent="0.25">
      <c r="B68" s="122" t="s">
        <v>336</v>
      </c>
      <c r="C68" s="122" t="s">
        <v>328</v>
      </c>
      <c r="D68" s="122" t="s">
        <v>337</v>
      </c>
      <c r="E68" s="257" t="s">
        <v>392</v>
      </c>
      <c r="F68" s="257"/>
      <c r="G68" s="257"/>
      <c r="H68" s="257"/>
      <c r="I68" s="257"/>
      <c r="J68" s="257"/>
      <c r="K68" s="257"/>
      <c r="L68" s="257"/>
      <c r="M68" s="257"/>
    </row>
    <row r="69" spans="1:18" ht="17.25" x14ac:dyDescent="0.25">
      <c r="B69" s="136" t="s">
        <v>439</v>
      </c>
      <c r="C69" s="135">
        <f>C64</f>
        <v>0.98375049286426552</v>
      </c>
      <c r="D69" s="11" t="s">
        <v>450</v>
      </c>
      <c r="E69" s="253" t="s">
        <v>457</v>
      </c>
      <c r="F69" s="254"/>
      <c r="G69" s="254"/>
      <c r="H69" s="254"/>
      <c r="I69" s="254"/>
      <c r="J69" s="254"/>
      <c r="K69" s="254"/>
      <c r="L69" s="254"/>
      <c r="M69" s="255"/>
      <c r="R69" s="26"/>
    </row>
    <row r="70" spans="1:18" ht="17.25" x14ac:dyDescent="0.25">
      <c r="B70" s="123" t="s">
        <v>395</v>
      </c>
      <c r="C70" s="135">
        <f>'Scenario 2'!C109/K5</f>
        <v>9.8375049286426552</v>
      </c>
      <c r="D70" s="11" t="s">
        <v>451</v>
      </c>
      <c r="E70" s="253" t="s">
        <v>466</v>
      </c>
      <c r="F70" s="254"/>
      <c r="G70" s="254"/>
      <c r="H70" s="254"/>
      <c r="I70" s="254"/>
      <c r="J70" s="254"/>
      <c r="K70" s="254"/>
      <c r="L70" s="254"/>
      <c r="M70" s="255"/>
      <c r="R70" s="26"/>
    </row>
    <row r="71" spans="1:18" ht="17.25" x14ac:dyDescent="0.25">
      <c r="A71" s="132">
        <f>C70+C71</f>
        <v>9.8949098527528125</v>
      </c>
      <c r="B71" s="123" t="s">
        <v>408</v>
      </c>
      <c r="C71" s="135">
        <f>(('Scenario 2'!C137/1000)*8)/K5</f>
        <v>5.7404924110157046E-2</v>
      </c>
      <c r="D71" s="11" t="s">
        <v>451</v>
      </c>
      <c r="E71" s="253" t="s">
        <v>466</v>
      </c>
      <c r="F71" s="254"/>
      <c r="G71" s="254"/>
      <c r="H71" s="254"/>
      <c r="I71" s="254"/>
      <c r="J71" s="254"/>
      <c r="K71" s="254"/>
      <c r="L71" s="254"/>
      <c r="M71" s="255"/>
      <c r="R71" s="26"/>
    </row>
    <row r="72" spans="1:18" x14ac:dyDescent="0.25">
      <c r="B72" s="134" t="s">
        <v>401</v>
      </c>
      <c r="C72" s="134" t="s">
        <v>328</v>
      </c>
      <c r="D72" s="134" t="s">
        <v>337</v>
      </c>
      <c r="E72" s="264" t="s">
        <v>392</v>
      </c>
      <c r="F72" s="265"/>
      <c r="G72" s="265"/>
      <c r="H72" s="265"/>
      <c r="I72" s="265"/>
      <c r="J72" s="265"/>
      <c r="K72" s="265"/>
      <c r="L72" s="265"/>
      <c r="M72" s="266"/>
      <c r="R72" s="26"/>
    </row>
    <row r="73" spans="1:18" ht="17.25" x14ac:dyDescent="0.25">
      <c r="B73" s="137" t="s">
        <v>438</v>
      </c>
      <c r="C73" s="135">
        <f>L16</f>
        <v>0.98375049286426552</v>
      </c>
      <c r="D73" s="11" t="s">
        <v>450</v>
      </c>
      <c r="E73" s="253" t="s">
        <v>459</v>
      </c>
      <c r="F73" s="254"/>
      <c r="G73" s="254"/>
      <c r="H73" s="254"/>
      <c r="I73" s="254"/>
      <c r="J73" s="254"/>
      <c r="K73" s="254"/>
      <c r="L73" s="254"/>
      <c r="M73" s="255"/>
      <c r="R73" s="26"/>
    </row>
    <row r="74" spans="1:18" ht="15.75" thickBot="1" x14ac:dyDescent="0.3">
      <c r="B74" s="85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R74" s="26"/>
    </row>
    <row r="75" spans="1:18" s="142" customFormat="1" ht="15.75" thickBot="1" x14ac:dyDescent="0.3">
      <c r="B75" s="261" t="s">
        <v>464</v>
      </c>
      <c r="C75" s="262"/>
      <c r="D75" s="262"/>
      <c r="E75" s="262"/>
      <c r="F75" s="262"/>
      <c r="G75" s="262"/>
      <c r="H75" s="263"/>
      <c r="I75" s="167"/>
      <c r="J75" s="166"/>
      <c r="K75" s="167"/>
      <c r="L75" s="167"/>
      <c r="M75" s="167"/>
    </row>
    <row r="76" spans="1:18" x14ac:dyDescent="0.25">
      <c r="B76" s="85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</row>
    <row r="77" spans="1:18" x14ac:dyDescent="0.25">
      <c r="B77" s="122" t="s">
        <v>336</v>
      </c>
      <c r="C77" s="122" t="s">
        <v>328</v>
      </c>
      <c r="D77" s="122" t="s">
        <v>337</v>
      </c>
      <c r="E77" s="257" t="s">
        <v>392</v>
      </c>
      <c r="F77" s="257"/>
      <c r="G77" s="257"/>
      <c r="H77" s="257"/>
      <c r="I77" s="257"/>
      <c r="J77" s="257"/>
      <c r="K77" s="257"/>
      <c r="L77" s="257"/>
      <c r="M77" s="257"/>
    </row>
    <row r="78" spans="1:18" ht="17.25" x14ac:dyDescent="0.25">
      <c r="B78" s="136" t="s">
        <v>438</v>
      </c>
      <c r="C78" s="135">
        <f>C73</f>
        <v>0.98375049286426552</v>
      </c>
      <c r="D78" s="11" t="s">
        <v>450</v>
      </c>
      <c r="E78" s="253" t="s">
        <v>459</v>
      </c>
      <c r="F78" s="254"/>
      <c r="G78" s="254"/>
      <c r="H78" s="254"/>
      <c r="I78" s="254"/>
      <c r="J78" s="254"/>
      <c r="K78" s="254"/>
      <c r="L78" s="254"/>
      <c r="M78" s="255"/>
    </row>
    <row r="79" spans="1:18" ht="17.25" x14ac:dyDescent="0.25">
      <c r="B79" s="123" t="s">
        <v>360</v>
      </c>
      <c r="C79" s="135">
        <f>'Scenario 2'!C105/K5</f>
        <v>3.9350019714570621</v>
      </c>
      <c r="D79" s="11" t="s">
        <v>451</v>
      </c>
      <c r="E79" s="253" t="s">
        <v>466</v>
      </c>
      <c r="F79" s="254"/>
      <c r="G79" s="254"/>
      <c r="H79" s="254"/>
      <c r="I79" s="254"/>
      <c r="J79" s="254"/>
      <c r="K79" s="254"/>
      <c r="L79" s="254"/>
      <c r="M79" s="255"/>
    </row>
    <row r="80" spans="1:18" ht="17.25" x14ac:dyDescent="0.25">
      <c r="A80" s="132">
        <f>C79+C80</f>
        <v>3.9924068955672189</v>
      </c>
      <c r="B80" s="123" t="s">
        <v>409</v>
      </c>
      <c r="C80" s="135">
        <f>(('Scenario 2'!C138/1000)*8)/K5</f>
        <v>5.7404924110157046E-2</v>
      </c>
      <c r="D80" s="11" t="s">
        <v>451</v>
      </c>
      <c r="E80" s="253" t="s">
        <v>466</v>
      </c>
      <c r="F80" s="254"/>
      <c r="G80" s="254"/>
      <c r="H80" s="254"/>
      <c r="I80" s="254"/>
      <c r="J80" s="254"/>
      <c r="K80" s="254"/>
      <c r="L80" s="254"/>
      <c r="M80" s="255"/>
    </row>
    <row r="81" spans="1:14" ht="17.25" x14ac:dyDescent="0.25">
      <c r="B81" s="123" t="s">
        <v>327</v>
      </c>
      <c r="C81" s="135">
        <f>G10</f>
        <v>22.844872556514606</v>
      </c>
      <c r="D81" s="11" t="s">
        <v>451</v>
      </c>
      <c r="E81" s="239" t="s">
        <v>460</v>
      </c>
      <c r="F81" s="239"/>
      <c r="G81" s="239"/>
      <c r="H81" s="239"/>
      <c r="I81" s="239"/>
      <c r="J81" s="239"/>
      <c r="K81" s="239"/>
      <c r="L81" s="239"/>
      <c r="M81" s="239"/>
      <c r="N81" s="26"/>
    </row>
    <row r="82" spans="1:14" ht="17.25" x14ac:dyDescent="0.25">
      <c r="B82" s="123" t="s">
        <v>215</v>
      </c>
      <c r="C82" s="135">
        <f>C8</f>
        <v>1.7707508871556779</v>
      </c>
      <c r="D82" s="11" t="s">
        <v>452</v>
      </c>
      <c r="E82" s="239" t="s">
        <v>470</v>
      </c>
      <c r="F82" s="239"/>
      <c r="G82" s="239"/>
      <c r="H82" s="239"/>
      <c r="I82" s="239"/>
      <c r="J82" s="239"/>
      <c r="K82" s="239"/>
      <c r="L82" s="239"/>
      <c r="M82" s="239"/>
    </row>
    <row r="83" spans="1:14" ht="17.25" x14ac:dyDescent="0.25">
      <c r="B83" s="123" t="s">
        <v>218</v>
      </c>
      <c r="C83" s="135">
        <f>C9</f>
        <v>16.249507135734344</v>
      </c>
      <c r="D83" s="11" t="s">
        <v>452</v>
      </c>
      <c r="E83" s="239" t="s">
        <v>465</v>
      </c>
      <c r="F83" s="239"/>
      <c r="G83" s="239"/>
      <c r="H83" s="239"/>
      <c r="I83" s="239"/>
      <c r="J83" s="239"/>
      <c r="K83" s="239"/>
      <c r="L83" s="239"/>
      <c r="M83" s="239"/>
    </row>
    <row r="84" spans="1:14" x14ac:dyDescent="0.25">
      <c r="B84" s="134" t="s">
        <v>401</v>
      </c>
      <c r="C84" s="134" t="s">
        <v>328</v>
      </c>
      <c r="D84" s="134" t="s">
        <v>337</v>
      </c>
      <c r="E84" s="264" t="s">
        <v>392</v>
      </c>
      <c r="F84" s="265"/>
      <c r="G84" s="265"/>
      <c r="H84" s="265"/>
      <c r="I84" s="265"/>
      <c r="J84" s="265"/>
      <c r="K84" s="265"/>
      <c r="L84" s="265"/>
      <c r="M84" s="266"/>
    </row>
    <row r="85" spans="1:14" ht="17.25" x14ac:dyDescent="0.25">
      <c r="B85" s="137" t="s">
        <v>334</v>
      </c>
      <c r="C85" s="135">
        <f>M16</f>
        <v>1</v>
      </c>
      <c r="D85" s="11" t="s">
        <v>450</v>
      </c>
      <c r="E85" s="253" t="s">
        <v>461</v>
      </c>
      <c r="F85" s="254"/>
      <c r="G85" s="254"/>
      <c r="H85" s="254"/>
      <c r="I85" s="254"/>
      <c r="J85" s="254"/>
      <c r="K85" s="254"/>
      <c r="L85" s="254"/>
      <c r="M85" s="255"/>
    </row>
    <row r="86" spans="1:14" ht="17.25" x14ac:dyDescent="0.25">
      <c r="B86" s="30" t="s">
        <v>396</v>
      </c>
      <c r="C86" s="135">
        <f>K7</f>
        <v>4.1939387013444282E-3</v>
      </c>
      <c r="D86" s="11" t="s">
        <v>451</v>
      </c>
      <c r="E86" s="253" t="s">
        <v>462</v>
      </c>
      <c r="F86" s="254"/>
      <c r="G86" s="254"/>
      <c r="H86" s="254"/>
      <c r="I86" s="254"/>
      <c r="J86" s="254"/>
      <c r="K86" s="254"/>
      <c r="L86" s="254"/>
      <c r="M86" s="255"/>
    </row>
    <row r="87" spans="1:14" x14ac:dyDescent="0.25">
      <c r="A87" s="140"/>
      <c r="B87" s="126" t="s">
        <v>447</v>
      </c>
      <c r="C87" s="126" t="s">
        <v>328</v>
      </c>
      <c r="D87" s="126" t="s">
        <v>337</v>
      </c>
      <c r="E87" s="258" t="s">
        <v>392</v>
      </c>
      <c r="F87" s="259"/>
      <c r="G87" s="259"/>
      <c r="H87" s="259"/>
      <c r="I87" s="259"/>
      <c r="J87" s="259"/>
      <c r="K87" s="259"/>
      <c r="L87" s="259"/>
      <c r="M87" s="260"/>
      <c r="N87" s="26"/>
    </row>
    <row r="88" spans="1:14" ht="17.25" x14ac:dyDescent="0.25">
      <c r="B88" s="127" t="s">
        <v>35</v>
      </c>
      <c r="C88" s="144">
        <f>M21</f>
        <v>8.2820767099518751</v>
      </c>
      <c r="D88" s="11" t="s">
        <v>452</v>
      </c>
      <c r="E88" s="253" t="s">
        <v>471</v>
      </c>
      <c r="F88" s="254"/>
      <c r="G88" s="254"/>
      <c r="H88" s="254"/>
      <c r="I88" s="254"/>
      <c r="J88" s="254"/>
      <c r="K88" s="254"/>
      <c r="L88" s="254"/>
      <c r="M88" s="255"/>
    </row>
    <row r="89" spans="1:14" ht="17.25" x14ac:dyDescent="0.25">
      <c r="B89" s="127" t="s">
        <v>40</v>
      </c>
      <c r="C89" s="144">
        <f>M23</f>
        <v>16.523862478082059</v>
      </c>
      <c r="D89" s="11" t="s">
        <v>452</v>
      </c>
      <c r="E89" s="253" t="s">
        <v>472</v>
      </c>
      <c r="F89" s="254"/>
      <c r="G89" s="254"/>
      <c r="H89" s="254"/>
      <c r="I89" s="254"/>
      <c r="J89" s="254"/>
      <c r="K89" s="254"/>
      <c r="L89" s="254"/>
      <c r="M89" s="255"/>
    </row>
    <row r="90" spans="1:14" x14ac:dyDescent="0.25">
      <c r="B90" s="85"/>
      <c r="C90" s="147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48"/>
    </row>
    <row r="91" spans="1:14" x14ac:dyDescent="0.25">
      <c r="B91" s="256" t="s">
        <v>511</v>
      </c>
      <c r="C91" s="256"/>
      <c r="D91" s="256"/>
      <c r="E91" s="256"/>
      <c r="F91" s="256"/>
      <c r="G91" s="256"/>
      <c r="H91" s="256"/>
      <c r="I91" s="131"/>
      <c r="J91" s="131"/>
      <c r="K91" s="131"/>
      <c r="L91" s="131"/>
      <c r="M91" s="131"/>
      <c r="N91" s="48"/>
    </row>
    <row r="92" spans="1:14" x14ac:dyDescent="0.25">
      <c r="B92" s="85"/>
      <c r="C92" s="131"/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48"/>
    </row>
    <row r="93" spans="1:14" x14ac:dyDescent="0.25">
      <c r="B93" s="122" t="s">
        <v>336</v>
      </c>
      <c r="C93" s="122" t="s">
        <v>328</v>
      </c>
      <c r="D93" s="122" t="s">
        <v>337</v>
      </c>
      <c r="E93" s="257" t="s">
        <v>392</v>
      </c>
      <c r="F93" s="257"/>
      <c r="G93" s="257"/>
      <c r="H93" s="257"/>
      <c r="I93" s="257"/>
      <c r="J93" s="257"/>
      <c r="K93" s="257"/>
      <c r="L93" s="257"/>
      <c r="M93" s="257"/>
      <c r="N93" s="48"/>
    </row>
    <row r="94" spans="1:14" ht="17.25" x14ac:dyDescent="0.25">
      <c r="B94" s="123" t="s">
        <v>478</v>
      </c>
      <c r="C94" s="135">
        <f>C85</f>
        <v>1</v>
      </c>
      <c r="D94" s="11" t="s">
        <v>501</v>
      </c>
      <c r="E94" s="239" t="s">
        <v>512</v>
      </c>
      <c r="F94" s="239"/>
      <c r="G94" s="239"/>
      <c r="H94" s="239"/>
      <c r="I94" s="239"/>
      <c r="J94" s="239"/>
      <c r="K94" s="239"/>
      <c r="L94" s="239"/>
      <c r="M94" s="239"/>
      <c r="N94" s="48"/>
    </row>
    <row r="95" spans="1:14" ht="15.75" thickBot="1" x14ac:dyDescent="0.3">
      <c r="B95" s="85"/>
      <c r="C95" s="147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48"/>
    </row>
    <row r="96" spans="1:14" s="142" customFormat="1" ht="15.75" thickBot="1" x14ac:dyDescent="0.3">
      <c r="A96" s="168"/>
      <c r="B96" s="261" t="s">
        <v>604</v>
      </c>
      <c r="C96" s="262"/>
      <c r="D96" s="262"/>
      <c r="E96" s="262"/>
      <c r="F96" s="262"/>
      <c r="G96" s="262"/>
      <c r="H96" s="263"/>
      <c r="J96" s="169" t="s">
        <v>543</v>
      </c>
      <c r="N96" s="170"/>
    </row>
    <row r="97" spans="2:14" x14ac:dyDescent="0.25">
      <c r="N97" s="48"/>
    </row>
    <row r="98" spans="2:14" x14ac:dyDescent="0.25">
      <c r="B98" s="125" t="s">
        <v>440</v>
      </c>
      <c r="C98" s="125" t="s">
        <v>328</v>
      </c>
      <c r="D98" s="125" t="s">
        <v>337</v>
      </c>
      <c r="E98" s="267" t="s">
        <v>392</v>
      </c>
      <c r="F98" s="268"/>
      <c r="G98" s="268"/>
      <c r="H98" s="268"/>
      <c r="I98" s="268"/>
      <c r="J98" s="268"/>
      <c r="K98" s="268"/>
      <c r="L98" s="268"/>
      <c r="M98" s="269"/>
      <c r="N98" s="48"/>
    </row>
    <row r="99" spans="2:14" ht="17.25" x14ac:dyDescent="0.25">
      <c r="B99" s="16" t="s">
        <v>363</v>
      </c>
      <c r="C99" s="141">
        <f>Calculations!N50/'LCA inventary (SimaPro)'!K5</f>
        <v>111.83689813614806</v>
      </c>
      <c r="D99" s="11" t="s">
        <v>477</v>
      </c>
      <c r="E99" s="253" t="s">
        <v>494</v>
      </c>
      <c r="F99" s="254"/>
      <c r="G99" s="254"/>
      <c r="H99" s="254"/>
      <c r="I99" s="254"/>
      <c r="J99" s="254"/>
      <c r="K99" s="254"/>
      <c r="L99" s="254"/>
      <c r="M99" s="255"/>
      <c r="N99" s="48" t="s">
        <v>495</v>
      </c>
    </row>
    <row r="100" spans="2:14" x14ac:dyDescent="0.25">
      <c r="B100" s="16" t="s">
        <v>607</v>
      </c>
      <c r="C100" s="141">
        <f>Calculations!C50</f>
        <v>87.146682253550139</v>
      </c>
      <c r="D100" s="11" t="s">
        <v>605</v>
      </c>
      <c r="E100" s="253" t="s">
        <v>608</v>
      </c>
      <c r="F100" s="254"/>
      <c r="G100" s="254"/>
      <c r="H100" s="254"/>
      <c r="I100" s="254"/>
      <c r="J100" s="254"/>
      <c r="K100" s="254"/>
      <c r="L100" s="254"/>
      <c r="M100" s="255"/>
      <c r="N100" s="48" t="s">
        <v>603</v>
      </c>
    </row>
    <row r="101" spans="2:14" ht="17.25" x14ac:dyDescent="0.25">
      <c r="B101" s="16" t="s">
        <v>334</v>
      </c>
      <c r="C101" s="141">
        <f>Calculations!C47</f>
        <v>0.87146682253550145</v>
      </c>
      <c r="D101" s="11" t="s">
        <v>606</v>
      </c>
      <c r="E101" s="253" t="s">
        <v>461</v>
      </c>
      <c r="F101" s="254"/>
      <c r="G101" s="254"/>
      <c r="H101" s="254"/>
      <c r="I101" s="254"/>
      <c r="J101" s="254"/>
      <c r="K101" s="254"/>
      <c r="L101" s="254"/>
      <c r="M101" s="255"/>
      <c r="N101" s="48"/>
    </row>
    <row r="102" spans="2:14" x14ac:dyDescent="0.25">
      <c r="B102" s="149"/>
      <c r="C102" s="149"/>
      <c r="D102" s="85"/>
      <c r="E102" s="85"/>
      <c r="F102" s="85"/>
      <c r="G102" s="85"/>
      <c r="H102" s="85"/>
      <c r="I102" s="85"/>
      <c r="J102" s="85"/>
      <c r="K102" s="85"/>
      <c r="L102" s="85"/>
      <c r="M102" s="85"/>
    </row>
    <row r="103" spans="2:14" x14ac:dyDescent="0.25">
      <c r="B103" s="256" t="s">
        <v>513</v>
      </c>
      <c r="C103" s="256"/>
      <c r="D103" s="256"/>
      <c r="E103" s="256"/>
      <c r="F103" s="256"/>
      <c r="G103" s="256"/>
      <c r="H103" s="256"/>
      <c r="I103" s="131"/>
      <c r="J103" s="131"/>
      <c r="K103" s="131"/>
      <c r="L103" s="131"/>
      <c r="M103" s="131"/>
    </row>
    <row r="104" spans="2:14" x14ac:dyDescent="0.25">
      <c r="B104" s="85"/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</row>
    <row r="105" spans="2:14" x14ac:dyDescent="0.25">
      <c r="B105" s="122" t="s">
        <v>336</v>
      </c>
      <c r="C105" s="122" t="s">
        <v>328</v>
      </c>
      <c r="D105" s="122" t="s">
        <v>337</v>
      </c>
      <c r="E105" s="257" t="s">
        <v>392</v>
      </c>
      <c r="F105" s="257"/>
      <c r="G105" s="257"/>
      <c r="H105" s="257"/>
      <c r="I105" s="257"/>
      <c r="J105" s="257"/>
      <c r="K105" s="257"/>
      <c r="L105" s="257"/>
      <c r="M105" s="257"/>
    </row>
    <row r="106" spans="2:14" ht="17.25" x14ac:dyDescent="0.25">
      <c r="B106" s="123" t="s">
        <v>478</v>
      </c>
      <c r="C106" s="135">
        <v>1</v>
      </c>
      <c r="D106" s="11" t="s">
        <v>501</v>
      </c>
      <c r="E106" s="239" t="s">
        <v>512</v>
      </c>
      <c r="F106" s="239"/>
      <c r="G106" s="239"/>
      <c r="H106" s="239"/>
      <c r="I106" s="239"/>
      <c r="J106" s="239"/>
      <c r="K106" s="239"/>
      <c r="L106" s="239"/>
      <c r="M106" s="239"/>
    </row>
    <row r="107" spans="2:14" s="142" customFormat="1" ht="15.75" thickBot="1" x14ac:dyDescent="0.3">
      <c r="B107" s="148"/>
      <c r="C107" s="148"/>
      <c r="D107" s="148"/>
      <c r="E107" s="148"/>
      <c r="F107" s="148"/>
      <c r="G107" s="148"/>
      <c r="H107" s="148"/>
      <c r="I107" s="148"/>
      <c r="J107" s="148"/>
      <c r="K107" s="148"/>
      <c r="L107" s="148"/>
      <c r="M107" s="148"/>
    </row>
  </sheetData>
  <mergeCells count="68">
    <mergeCell ref="B103:H103"/>
    <mergeCell ref="E105:M105"/>
    <mergeCell ref="B96:H96"/>
    <mergeCell ref="E98:M98"/>
    <mergeCell ref="E100:M100"/>
    <mergeCell ref="E101:M101"/>
    <mergeCell ref="E106:M106"/>
    <mergeCell ref="E31:M31"/>
    <mergeCell ref="B2:H2"/>
    <mergeCell ref="J2:L2"/>
    <mergeCell ref="B12:M12"/>
    <mergeCell ref="B28:H28"/>
    <mergeCell ref="E30:M30"/>
    <mergeCell ref="F8:F10"/>
    <mergeCell ref="E44:M44"/>
    <mergeCell ref="E32:M32"/>
    <mergeCell ref="E33:M33"/>
    <mergeCell ref="E34:M34"/>
    <mergeCell ref="E35:M35"/>
    <mergeCell ref="E36:M36"/>
    <mergeCell ref="E37:M37"/>
    <mergeCell ref="E38:M38"/>
    <mergeCell ref="E39:M39"/>
    <mergeCell ref="E40:M40"/>
    <mergeCell ref="E41:M41"/>
    <mergeCell ref="E43:M43"/>
    <mergeCell ref="E59:M59"/>
    <mergeCell ref="E45:M45"/>
    <mergeCell ref="E46:M46"/>
    <mergeCell ref="E47:M47"/>
    <mergeCell ref="E48:M48"/>
    <mergeCell ref="E49:M49"/>
    <mergeCell ref="B51:H51"/>
    <mergeCell ref="E53:M53"/>
    <mergeCell ref="E54:M54"/>
    <mergeCell ref="B56:H56"/>
    <mergeCell ref="E58:M58"/>
    <mergeCell ref="E42:M42"/>
    <mergeCell ref="E73:M73"/>
    <mergeCell ref="E60:M60"/>
    <mergeCell ref="E61:M61"/>
    <mergeCell ref="E62:M62"/>
    <mergeCell ref="E63:M63"/>
    <mergeCell ref="E64:M64"/>
    <mergeCell ref="B66:H66"/>
    <mergeCell ref="E68:M68"/>
    <mergeCell ref="E69:M69"/>
    <mergeCell ref="E70:M70"/>
    <mergeCell ref="E71:M71"/>
    <mergeCell ref="E72:M72"/>
    <mergeCell ref="E87:M87"/>
    <mergeCell ref="B75:H75"/>
    <mergeCell ref="E77:M77"/>
    <mergeCell ref="E78:M78"/>
    <mergeCell ref="E79:M79"/>
    <mergeCell ref="E80:M80"/>
    <mergeCell ref="E81:M81"/>
    <mergeCell ref="E82:M82"/>
    <mergeCell ref="E83:M83"/>
    <mergeCell ref="E84:M84"/>
    <mergeCell ref="E85:M85"/>
    <mergeCell ref="E86:M86"/>
    <mergeCell ref="E88:M88"/>
    <mergeCell ref="E89:M89"/>
    <mergeCell ref="B91:H91"/>
    <mergeCell ref="E99:M99"/>
    <mergeCell ref="E93:M93"/>
    <mergeCell ref="E94:M9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138"/>
  <sheetViews>
    <sheetView topLeftCell="B95" zoomScale="90" zoomScaleNormal="90" workbookViewId="0">
      <selection activeCell="D103" sqref="D103:D106"/>
    </sheetView>
  </sheetViews>
  <sheetFormatPr defaultColWidth="10.85546875" defaultRowHeight="15" x14ac:dyDescent="0.25"/>
  <cols>
    <col min="1" max="1" width="10.85546875" style="128"/>
    <col min="2" max="2" width="20.7109375" style="128" bestFit="1" customWidth="1"/>
    <col min="3" max="3" width="12.140625" style="128" bestFit="1" customWidth="1"/>
    <col min="4" max="4" width="15" style="128" bestFit="1" customWidth="1"/>
    <col min="5" max="5" width="13.5703125" style="128" customWidth="1"/>
    <col min="6" max="6" width="14.28515625" style="128" customWidth="1"/>
    <col min="7" max="7" width="12.42578125" style="128" bestFit="1" customWidth="1"/>
    <col min="8" max="8" width="19.85546875" style="128" bestFit="1" customWidth="1"/>
    <col min="9" max="9" width="20.5703125" style="128" bestFit="1" customWidth="1"/>
    <col min="10" max="10" width="12.140625" style="128" customWidth="1"/>
    <col min="11" max="11" width="20.42578125" style="128" customWidth="1"/>
    <col min="12" max="12" width="22.140625" style="128" customWidth="1"/>
    <col min="13" max="13" width="10.85546875" style="128" customWidth="1"/>
    <col min="14" max="14" width="14.28515625" style="128" customWidth="1"/>
    <col min="15" max="15" width="19.85546875" style="128" customWidth="1"/>
    <col min="16" max="16" width="10.85546875" style="128" customWidth="1"/>
    <col min="17" max="17" width="13.140625" style="128" customWidth="1"/>
    <col min="18" max="18" width="13.5703125" style="128" customWidth="1"/>
    <col min="19" max="23" width="10.85546875" style="128" customWidth="1"/>
    <col min="24" max="24" width="13.28515625" style="128" customWidth="1"/>
    <col min="25" max="25" width="13.42578125" style="128" customWidth="1"/>
    <col min="26" max="26" width="10.85546875" style="128"/>
    <col min="27" max="27" width="15.5703125" style="128" bestFit="1" customWidth="1"/>
    <col min="28" max="29" width="10.85546875" style="128"/>
    <col min="30" max="30" width="10.85546875" style="176"/>
    <col min="31" max="31" width="14.42578125" style="128" bestFit="1" customWidth="1"/>
    <col min="32" max="32" width="13.42578125" style="128" customWidth="1"/>
    <col min="33" max="33" width="14.140625" style="128" customWidth="1"/>
    <col min="34" max="34" width="13.140625" style="128" customWidth="1"/>
    <col min="35" max="38" width="10.85546875" style="128"/>
    <col min="39" max="39" width="15.5703125" style="128" bestFit="1" customWidth="1"/>
    <col min="40" max="40" width="11.85546875" style="128" customWidth="1"/>
    <col min="41" max="41" width="13.5703125" style="128" customWidth="1"/>
    <col min="42" max="16384" width="10.85546875" style="128"/>
  </cols>
  <sheetData>
    <row r="1" spans="1:44" ht="15.75" thickBot="1" x14ac:dyDescent="0.3">
      <c r="A1" s="175" t="s">
        <v>594</v>
      </c>
    </row>
    <row r="2" spans="1:44" ht="18" thickBot="1" x14ac:dyDescent="0.3">
      <c r="B2" s="282" t="s">
        <v>616</v>
      </c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AF2" s="279" t="s">
        <v>609</v>
      </c>
      <c r="AG2" s="280"/>
      <c r="AH2" s="280"/>
      <c r="AI2" s="280"/>
      <c r="AJ2" s="281"/>
      <c r="AN2" s="279" t="s">
        <v>610</v>
      </c>
      <c r="AO2" s="280"/>
      <c r="AP2" s="280"/>
      <c r="AQ2" s="281"/>
    </row>
    <row r="4" spans="1:44" ht="30" customHeight="1" x14ac:dyDescent="0.25">
      <c r="B4" s="162" t="s">
        <v>547</v>
      </c>
      <c r="C4" s="162" t="s">
        <v>337</v>
      </c>
      <c r="D4" s="162" t="s">
        <v>595</v>
      </c>
      <c r="E4" s="162" t="s">
        <v>615</v>
      </c>
      <c r="F4" s="162" t="s">
        <v>548</v>
      </c>
      <c r="G4" s="162" t="s">
        <v>549</v>
      </c>
      <c r="H4" s="162" t="s">
        <v>582</v>
      </c>
      <c r="L4" s="162" t="s">
        <v>547</v>
      </c>
      <c r="M4" s="162" t="s">
        <v>337</v>
      </c>
      <c r="N4" s="162" t="s">
        <v>615</v>
      </c>
      <c r="O4" s="162" t="s">
        <v>548</v>
      </c>
      <c r="P4" s="162" t="s">
        <v>549</v>
      </c>
      <c r="Q4" s="162" t="s">
        <v>582</v>
      </c>
      <c r="AF4" s="162" t="s">
        <v>615</v>
      </c>
      <c r="AG4" s="162" t="s">
        <v>548</v>
      </c>
      <c r="AH4" s="162" t="s">
        <v>578</v>
      </c>
      <c r="AI4" s="162" t="s">
        <v>583</v>
      </c>
      <c r="AJ4" s="162" t="s">
        <v>596</v>
      </c>
      <c r="AM4" s="177" t="s">
        <v>600</v>
      </c>
      <c r="AN4" s="162" t="s">
        <v>548</v>
      </c>
      <c r="AO4" s="162" t="s">
        <v>578</v>
      </c>
      <c r="AP4" s="162" t="s">
        <v>583</v>
      </c>
      <c r="AQ4" s="162" t="s">
        <v>596</v>
      </c>
    </row>
    <row r="5" spans="1:44" ht="18" x14ac:dyDescent="0.25">
      <c r="B5" s="123" t="s">
        <v>550</v>
      </c>
      <c r="C5" s="11" t="s">
        <v>551</v>
      </c>
      <c r="D5" s="15">
        <f>SUM(E5:J5)</f>
        <v>4.6240000765000007</v>
      </c>
      <c r="E5" s="178">
        <v>0</v>
      </c>
      <c r="F5" s="178">
        <v>4.4800000000000004</v>
      </c>
      <c r="G5" s="178">
        <v>7.6500000000000003E-8</v>
      </c>
      <c r="H5" s="178">
        <v>0.14399999999999999</v>
      </c>
      <c r="K5" s="179"/>
      <c r="L5" s="123" t="s">
        <v>550</v>
      </c>
      <c r="M5" s="11" t="s">
        <v>29</v>
      </c>
      <c r="N5" s="180">
        <f>E5/$D5</f>
        <v>0</v>
      </c>
      <c r="O5" s="180">
        <f t="shared" ref="O5:Q19" si="0">F5/$D5</f>
        <v>0.96885811545898659</v>
      </c>
      <c r="P5" s="180">
        <f t="shared" si="0"/>
        <v>1.6544117373350997E-8</v>
      </c>
      <c r="Q5" s="180">
        <f t="shared" si="0"/>
        <v>3.1141867996895993E-2</v>
      </c>
      <c r="S5" s="179"/>
      <c r="T5" s="181"/>
      <c r="AE5" s="287" t="s">
        <v>572</v>
      </c>
      <c r="AF5" s="178">
        <f>D105</f>
        <v>350.10000002370003</v>
      </c>
      <c r="AG5" s="178">
        <f>AN5*Calculations!$C$47</f>
        <v>332.59912666846122</v>
      </c>
      <c r="AH5" s="178">
        <f>AO5*Calculations!$C$47</f>
        <v>281.21324896087305</v>
      </c>
      <c r="AI5" s="178">
        <f>AP5*Calculations!$C$47</f>
        <v>277.49671771881896</v>
      </c>
      <c r="AJ5" s="178">
        <f>AQ5*Calculations!$C$47</f>
        <v>266.10421784040022</v>
      </c>
      <c r="AM5" s="287" t="s">
        <v>572</v>
      </c>
      <c r="AN5" s="15">
        <f>D113</f>
        <v>381.65437635454208</v>
      </c>
      <c r="AO5" s="15">
        <f>D121</f>
        <v>322.68956395000004</v>
      </c>
      <c r="AP5" s="15">
        <f>D129</f>
        <v>318.42487923000004</v>
      </c>
      <c r="AQ5" s="15">
        <f>D137</f>
        <v>305.35209254000006</v>
      </c>
    </row>
    <row r="6" spans="1:44" ht="18" x14ac:dyDescent="0.25">
      <c r="B6" s="123" t="s">
        <v>552</v>
      </c>
      <c r="C6" s="11" t="s">
        <v>551</v>
      </c>
      <c r="D6" s="15">
        <f t="shared" ref="D6:D19" si="1">SUM(E6:J6)</f>
        <v>7.9860016399999996</v>
      </c>
      <c r="E6" s="178">
        <v>0</v>
      </c>
      <c r="F6" s="178">
        <v>7.66</v>
      </c>
      <c r="G6" s="178">
        <v>1.64E-6</v>
      </c>
      <c r="H6" s="178">
        <v>0.32600000000000001</v>
      </c>
      <c r="K6" s="179"/>
      <c r="L6" s="123" t="s">
        <v>552</v>
      </c>
      <c r="M6" s="11" t="s">
        <v>29</v>
      </c>
      <c r="N6" s="180">
        <f t="shared" ref="N6:N19" si="2">E6/$D6</f>
        <v>0</v>
      </c>
      <c r="O6" s="180">
        <f t="shared" si="0"/>
        <v>0.95917836550807423</v>
      </c>
      <c r="P6" s="180">
        <f t="shared" si="0"/>
        <v>2.0535933674063209E-7</v>
      </c>
      <c r="Q6" s="180">
        <f t="shared" si="0"/>
        <v>4.0821429132589064E-2</v>
      </c>
      <c r="S6" s="179"/>
      <c r="T6" s="181"/>
      <c r="AE6" s="287"/>
      <c r="AF6" s="15">
        <f t="shared" ref="AF6:AI6" si="3">AF5-AG5</f>
        <v>17.500873355238809</v>
      </c>
      <c r="AG6" s="15">
        <f t="shared" si="3"/>
        <v>51.385877707588179</v>
      </c>
      <c r="AH6" s="15">
        <f t="shared" si="3"/>
        <v>3.7165312420540886</v>
      </c>
      <c r="AI6" s="15">
        <f t="shared" si="3"/>
        <v>11.392499878418732</v>
      </c>
      <c r="AJ6" s="15">
        <f>AJ5-AK5</f>
        <v>266.10421784040022</v>
      </c>
      <c r="AM6" s="287"/>
      <c r="AN6" s="15">
        <f t="shared" ref="AN6:AP6" si="4">AN5-AO5</f>
        <v>58.964812404542045</v>
      </c>
      <c r="AO6" s="15">
        <f t="shared" si="4"/>
        <v>4.2646847199999911</v>
      </c>
      <c r="AP6" s="15">
        <f t="shared" si="4"/>
        <v>13.072786689999987</v>
      </c>
      <c r="AQ6" s="15">
        <f>AQ5-AR5</f>
        <v>305.35209254000006</v>
      </c>
    </row>
    <row r="7" spans="1:44" x14ac:dyDescent="0.25">
      <c r="B7" s="123" t="s">
        <v>553</v>
      </c>
      <c r="C7" s="11" t="s">
        <v>554</v>
      </c>
      <c r="D7" s="15">
        <f t="shared" si="1"/>
        <v>0.30040002199999999</v>
      </c>
      <c r="E7" s="178">
        <v>0</v>
      </c>
      <c r="F7" s="178">
        <v>0.28899999999999998</v>
      </c>
      <c r="G7" s="178">
        <v>2.1999999999999998E-8</v>
      </c>
      <c r="H7" s="178">
        <v>1.14E-2</v>
      </c>
      <c r="K7" s="179"/>
      <c r="L7" s="123" t="s">
        <v>553</v>
      </c>
      <c r="M7" s="11" t="s">
        <v>29</v>
      </c>
      <c r="N7" s="180">
        <f t="shared" si="2"/>
        <v>0</v>
      </c>
      <c r="O7" s="180">
        <f t="shared" si="0"/>
        <v>0.96205052874463504</v>
      </c>
      <c r="P7" s="180">
        <f t="shared" si="0"/>
        <v>7.323568038886495E-8</v>
      </c>
      <c r="Q7" s="180">
        <f t="shared" si="0"/>
        <v>3.7949398019684569E-2</v>
      </c>
      <c r="S7" s="179"/>
      <c r="T7" s="181"/>
      <c r="AE7" s="123" t="s">
        <v>597</v>
      </c>
      <c r="AF7" s="182">
        <f>AF6/$AF$5</f>
        <v>4.9988212950740039E-2</v>
      </c>
      <c r="AG7" s="182">
        <f>AG6/$AF$5</f>
        <v>0.14677485776666555</v>
      </c>
      <c r="AH7" s="182">
        <f>AH6/$AF$5</f>
        <v>1.0615627654391595E-2</v>
      </c>
      <c r="AI7" s="182">
        <f>AI6/$AF$5</f>
        <v>3.2540702306905214E-2</v>
      </c>
      <c r="AJ7" s="182">
        <f>AJ6/$AF$5</f>
        <v>0.76008059932129757</v>
      </c>
      <c r="AK7" s="183">
        <f>SUM(AF7:AJ7)</f>
        <v>1</v>
      </c>
      <c r="AM7" s="123" t="s">
        <v>597</v>
      </c>
      <c r="AN7" s="174">
        <f>AN6/$AN$5</f>
        <v>0.15449793335990997</v>
      </c>
      <c r="AO7" s="174">
        <f t="shared" ref="AO7:AQ7" si="5">AO6/$AN$5</f>
        <v>1.1174206256286354E-2</v>
      </c>
      <c r="AP7" s="174">
        <f t="shared" si="5"/>
        <v>3.4252945858678892E-2</v>
      </c>
      <c r="AQ7" s="174">
        <f t="shared" si="5"/>
        <v>0.8000749145251248</v>
      </c>
      <c r="AR7" s="184">
        <f>SUM(AN7:AQ7)</f>
        <v>1</v>
      </c>
    </row>
    <row r="8" spans="1:44" x14ac:dyDescent="0.25">
      <c r="B8" s="123" t="s">
        <v>555</v>
      </c>
      <c r="C8" s="11" t="s">
        <v>556</v>
      </c>
      <c r="D8" s="15">
        <f t="shared" si="1"/>
        <v>6222.0150000000003</v>
      </c>
      <c r="E8" s="178">
        <v>0</v>
      </c>
      <c r="F8" s="178">
        <v>6070</v>
      </c>
      <c r="G8" s="178">
        <v>1.4999999999999999E-2</v>
      </c>
      <c r="H8" s="178">
        <v>152</v>
      </c>
      <c r="K8" s="179"/>
      <c r="L8" s="123" t="s">
        <v>555</v>
      </c>
      <c r="M8" s="11" t="s">
        <v>29</v>
      </c>
      <c r="N8" s="180">
        <f t="shared" si="2"/>
        <v>0</v>
      </c>
      <c r="O8" s="180">
        <f t="shared" si="0"/>
        <v>0.97556820419108592</v>
      </c>
      <c r="P8" s="180">
        <f t="shared" si="0"/>
        <v>2.4107945737835732E-6</v>
      </c>
      <c r="Q8" s="180">
        <f t="shared" si="0"/>
        <v>2.4429385014340207E-2</v>
      </c>
      <c r="S8" s="179"/>
      <c r="T8" s="181"/>
      <c r="AE8" s="287" t="s">
        <v>588</v>
      </c>
      <c r="AF8" s="178">
        <f>D103</f>
        <v>2.473400242E-4</v>
      </c>
      <c r="AG8" s="178">
        <f>AN8*Calculations!$C$47</f>
        <v>2.3784659421116603E-4</v>
      </c>
      <c r="AH8" s="178">
        <f>AO8*Calculations!$C$47</f>
        <v>1.7832461316412147E-4</v>
      </c>
      <c r="AI8" s="178">
        <f>AP8*Calculations!$C$47</f>
        <v>1.7473608708228479E-4</v>
      </c>
      <c r="AJ8" s="178">
        <f>AQ8*Calculations!$C$47</f>
        <v>1.6923800289890832E-4</v>
      </c>
      <c r="AM8" s="287" t="s">
        <v>588</v>
      </c>
      <c r="AN8" s="178">
        <f>D111</f>
        <v>2.7292673462790001E-4</v>
      </c>
      <c r="AO8" s="178">
        <f>D119</f>
        <v>2.0462582E-4</v>
      </c>
      <c r="AP8" s="178">
        <f>D127</f>
        <v>2.0050802000000001E-4</v>
      </c>
      <c r="AQ8" s="178">
        <f>D135</f>
        <v>1.9419902000000002E-4</v>
      </c>
    </row>
    <row r="9" spans="1:44" x14ac:dyDescent="0.25">
      <c r="B9" s="123" t="s">
        <v>557</v>
      </c>
      <c r="C9" s="11" t="s">
        <v>558</v>
      </c>
      <c r="D9" s="15">
        <f t="shared" si="1"/>
        <v>4.9950000000054401E-5</v>
      </c>
      <c r="E9" s="178">
        <v>0</v>
      </c>
      <c r="F9" s="178">
        <v>4.6600000000000001E-5</v>
      </c>
      <c r="G9" s="178">
        <v>5.44E-17</v>
      </c>
      <c r="H9" s="178">
        <v>3.3500000000000001E-6</v>
      </c>
      <c r="K9" s="179"/>
      <c r="L9" s="123" t="s">
        <v>557</v>
      </c>
      <c r="M9" s="11" t="s">
        <v>29</v>
      </c>
      <c r="N9" s="180">
        <f t="shared" si="2"/>
        <v>0</v>
      </c>
      <c r="O9" s="180">
        <f t="shared" si="0"/>
        <v>0.93293293293191693</v>
      </c>
      <c r="P9" s="180">
        <f t="shared" si="0"/>
        <v>1.0890890890879029E-12</v>
      </c>
      <c r="Q9" s="180">
        <f t="shared" si="0"/>
        <v>6.7067067066994029E-2</v>
      </c>
      <c r="S9" s="179"/>
      <c r="T9" s="181"/>
      <c r="AE9" s="287"/>
      <c r="AF9" s="178">
        <f t="shared" ref="AF9:AI9" si="6">AF8-AG8</f>
        <v>9.4934299888339662E-6</v>
      </c>
      <c r="AG9" s="178">
        <f t="shared" si="6"/>
        <v>5.9521981047044561E-5</v>
      </c>
      <c r="AH9" s="178">
        <f t="shared" si="6"/>
        <v>3.5885260818366836E-6</v>
      </c>
      <c r="AI9" s="178">
        <f t="shared" si="6"/>
        <v>5.4980841833764636E-6</v>
      </c>
      <c r="AJ9" s="178">
        <f>AJ8-AK8</f>
        <v>1.6923800289890832E-4</v>
      </c>
      <c r="AM9" s="287"/>
      <c r="AN9" s="178">
        <f t="shared" ref="AN9:AP9" si="7">AN8-AO8</f>
        <v>6.8300914627900008E-5</v>
      </c>
      <c r="AO9" s="178">
        <f t="shared" si="7"/>
        <v>4.1177999999999896E-6</v>
      </c>
      <c r="AP9" s="178">
        <f t="shared" si="7"/>
        <v>6.3089999999999967E-6</v>
      </c>
      <c r="AQ9" s="178">
        <f>AQ8-AR8</f>
        <v>1.9419902000000002E-4</v>
      </c>
    </row>
    <row r="10" spans="1:44" ht="18" x14ac:dyDescent="0.25">
      <c r="B10" s="123" t="s">
        <v>559</v>
      </c>
      <c r="C10" s="11" t="s">
        <v>560</v>
      </c>
      <c r="D10" s="15">
        <f t="shared" si="1"/>
        <v>0.112330387</v>
      </c>
      <c r="E10" s="178">
        <v>0</v>
      </c>
      <c r="F10" s="178">
        <v>0.104</v>
      </c>
      <c r="G10" s="178">
        <v>3.8700000000000001E-7</v>
      </c>
      <c r="H10" s="178">
        <v>8.3300000000000006E-3</v>
      </c>
      <c r="K10" s="179"/>
      <c r="L10" s="123" t="s">
        <v>559</v>
      </c>
      <c r="M10" s="11" t="s">
        <v>29</v>
      </c>
      <c r="N10" s="180">
        <f t="shared" si="2"/>
        <v>0</v>
      </c>
      <c r="O10" s="180">
        <f t="shared" si="0"/>
        <v>0.925840307129005</v>
      </c>
      <c r="P10" s="180">
        <f t="shared" si="0"/>
        <v>3.4451942197973553E-6</v>
      </c>
      <c r="Q10" s="180">
        <f t="shared" si="0"/>
        <v>7.4156247676775117E-2</v>
      </c>
      <c r="S10" s="179"/>
      <c r="T10" s="181"/>
      <c r="AE10" s="123" t="s">
        <v>597</v>
      </c>
      <c r="AF10" s="182">
        <f>AF9/$AF$8</f>
        <v>3.8382101803133756E-2</v>
      </c>
      <c r="AG10" s="182">
        <f>AG9/$AF$8</f>
        <v>0.24064839986800876</v>
      </c>
      <c r="AH10" s="182">
        <f>AH9/$AF$8</f>
        <v>1.4508473076460075E-2</v>
      </c>
      <c r="AI10" s="182">
        <f>AI9/$AF$8</f>
        <v>2.2228849540868057E-2</v>
      </c>
      <c r="AJ10" s="182">
        <f>AJ9/$AF$8</f>
        <v>0.68423217571152939</v>
      </c>
      <c r="AK10" s="183">
        <f>SUM(AF10:AJ10)</f>
        <v>1</v>
      </c>
      <c r="AM10" s="123" t="s">
        <v>597</v>
      </c>
      <c r="AN10" s="174">
        <f>AN9/$AN$8</f>
        <v>0.2502536613755314</v>
      </c>
      <c r="AO10" s="174">
        <f t="shared" ref="AO10:AQ10" si="8">AO9/$AN$8</f>
        <v>1.5087565553495786E-2</v>
      </c>
      <c r="AP10" s="174">
        <f t="shared" si="8"/>
        <v>2.3116093806645564E-2</v>
      </c>
      <c r="AQ10" s="174">
        <f t="shared" si="8"/>
        <v>0.71154267926432724</v>
      </c>
      <c r="AR10" s="184">
        <f>SUM(AN10:AQ10)</f>
        <v>1</v>
      </c>
    </row>
    <row r="11" spans="1:44" x14ac:dyDescent="0.25">
      <c r="B11" s="123" t="s">
        <v>561</v>
      </c>
      <c r="C11" s="11" t="s">
        <v>562</v>
      </c>
      <c r="D11" s="15">
        <f t="shared" si="1"/>
        <v>26200.698</v>
      </c>
      <c r="E11" s="178">
        <v>0</v>
      </c>
      <c r="F11" s="178">
        <v>24600</v>
      </c>
      <c r="G11" s="178">
        <v>0.69799999999999995</v>
      </c>
      <c r="H11" s="178">
        <v>1600</v>
      </c>
      <c r="K11" s="179"/>
      <c r="L11" s="123" t="s">
        <v>561</v>
      </c>
      <c r="M11" s="11" t="s">
        <v>29</v>
      </c>
      <c r="N11" s="180">
        <f t="shared" si="2"/>
        <v>0</v>
      </c>
      <c r="O11" s="180">
        <f t="shared" si="0"/>
        <v>0.93890628409975951</v>
      </c>
      <c r="P11" s="180">
        <f t="shared" si="0"/>
        <v>2.6640511638277727E-5</v>
      </c>
      <c r="Q11" s="180">
        <f t="shared" si="0"/>
        <v>6.1067075388602239E-2</v>
      </c>
      <c r="S11" s="179"/>
      <c r="T11" s="181"/>
      <c r="AE11" s="286" t="s">
        <v>590</v>
      </c>
      <c r="AF11" s="178">
        <f>D104</f>
        <v>135.40003719999999</v>
      </c>
      <c r="AG11" s="178">
        <f>AN11*Calculations!$C$47</f>
        <v>125.03113631475577</v>
      </c>
      <c r="AH11" s="178">
        <f>AO11*Calculations!$C$47</f>
        <v>107.72774171902179</v>
      </c>
      <c r="AI11" s="178">
        <f>AP11*Calculations!$C$47</f>
        <v>107.21057720165877</v>
      </c>
      <c r="AJ11" s="178">
        <f>AQ11*Calculations!$C$47</f>
        <v>105.39654206874536</v>
      </c>
      <c r="AM11" s="286" t="s">
        <v>590</v>
      </c>
      <c r="AN11" s="15">
        <f>D112</f>
        <v>143.4720554834</v>
      </c>
      <c r="AO11" s="15">
        <f>D120</f>
        <v>123.61657258</v>
      </c>
      <c r="AP11" s="15">
        <f>D128</f>
        <v>123.02313115</v>
      </c>
      <c r="AQ11" s="15">
        <f>D136</f>
        <v>120.94154286</v>
      </c>
    </row>
    <row r="12" spans="1:44" x14ac:dyDescent="0.25">
      <c r="B12" s="123" t="s">
        <v>563</v>
      </c>
      <c r="C12" s="11" t="s">
        <v>564</v>
      </c>
      <c r="D12" s="15">
        <f t="shared" si="1"/>
        <v>14390.000147000001</v>
      </c>
      <c r="E12" s="178">
        <v>0</v>
      </c>
      <c r="F12" s="178">
        <v>13200</v>
      </c>
      <c r="G12" s="178">
        <v>1.47E-4</v>
      </c>
      <c r="H12" s="178">
        <v>1190</v>
      </c>
      <c r="K12" s="179"/>
      <c r="L12" s="123" t="s">
        <v>563</v>
      </c>
      <c r="M12" s="11" t="s">
        <v>29</v>
      </c>
      <c r="N12" s="180">
        <f t="shared" si="2"/>
        <v>0</v>
      </c>
      <c r="O12" s="180">
        <f t="shared" si="0"/>
        <v>0.917303673742624</v>
      </c>
      <c r="P12" s="180">
        <f t="shared" si="0"/>
        <v>1.0215427275770131E-8</v>
      </c>
      <c r="Q12" s="180">
        <f t="shared" si="0"/>
        <v>8.2696316041948673E-2</v>
      </c>
      <c r="S12" s="179"/>
      <c r="T12" s="181"/>
      <c r="AE12" s="286"/>
      <c r="AF12" s="15">
        <f t="shared" ref="AF12:AI12" si="9">AF11-AG11</f>
        <v>10.368900885244216</v>
      </c>
      <c r="AG12" s="15">
        <f t="shared" si="9"/>
        <v>17.303394595733977</v>
      </c>
      <c r="AH12" s="15">
        <f t="shared" si="9"/>
        <v>0.51716451736302815</v>
      </c>
      <c r="AI12" s="15">
        <f t="shared" si="9"/>
        <v>1.8140351329134035</v>
      </c>
      <c r="AJ12" s="15">
        <f>AJ11-AK11</f>
        <v>105.39654206874536</v>
      </c>
      <c r="AM12" s="286"/>
      <c r="AN12" s="15">
        <f t="shared" ref="AN12:AP12" si="10">AN11-AO11</f>
        <v>19.855482903400002</v>
      </c>
      <c r="AO12" s="15">
        <f t="shared" si="10"/>
        <v>0.5934414299999986</v>
      </c>
      <c r="AP12" s="15">
        <f t="shared" si="10"/>
        <v>2.0815882899999991</v>
      </c>
      <c r="AQ12" s="15">
        <f>AQ11-AR11</f>
        <v>120.94154286</v>
      </c>
    </row>
    <row r="13" spans="1:44" ht="18" x14ac:dyDescent="0.25">
      <c r="B13" s="123" t="s">
        <v>565</v>
      </c>
      <c r="C13" s="11" t="s">
        <v>566</v>
      </c>
      <c r="D13" s="15">
        <f t="shared" si="1"/>
        <v>4.5300009500000007</v>
      </c>
      <c r="E13" s="178">
        <v>0</v>
      </c>
      <c r="F13" s="178">
        <v>4.37</v>
      </c>
      <c r="G13" s="178">
        <v>9.5000000000000001E-7</v>
      </c>
      <c r="H13" s="178">
        <v>0.16</v>
      </c>
      <c r="K13" s="179"/>
      <c r="L13" s="123" t="s">
        <v>565</v>
      </c>
      <c r="M13" s="11" t="s">
        <v>29</v>
      </c>
      <c r="N13" s="180">
        <f t="shared" si="2"/>
        <v>0</v>
      </c>
      <c r="O13" s="180">
        <f t="shared" si="0"/>
        <v>0.96467970939387981</v>
      </c>
      <c r="P13" s="180">
        <f t="shared" si="0"/>
        <v>2.0971298030301735E-7</v>
      </c>
      <c r="Q13" s="180">
        <f t="shared" si="0"/>
        <v>3.5320080893139767E-2</v>
      </c>
      <c r="S13" s="179"/>
      <c r="T13" s="181"/>
      <c r="AE13" s="123" t="s">
        <v>597</v>
      </c>
      <c r="AF13" s="182">
        <f>AF12/$AF$11</f>
        <v>7.6579749161577171E-2</v>
      </c>
      <c r="AG13" s="182">
        <f>AG12/$AF$11</f>
        <v>0.12779460739863061</v>
      </c>
      <c r="AH13" s="182">
        <f>AH12/$AF$11</f>
        <v>3.8195300980539775E-3</v>
      </c>
      <c r="AI13" s="182">
        <f>AI12/$AF$11</f>
        <v>1.339759700533822E-2</v>
      </c>
      <c r="AJ13" s="182">
        <f>AJ12/$AF$11</f>
        <v>0.77840851633640007</v>
      </c>
      <c r="AK13" s="183">
        <f>SUM(AF13:AJ13)</f>
        <v>1</v>
      </c>
      <c r="AM13" s="123" t="s">
        <v>597</v>
      </c>
      <c r="AN13" s="174">
        <f>AN12/$AN$11</f>
        <v>0.13839268446040576</v>
      </c>
      <c r="AO13" s="174">
        <f t="shared" ref="AO13:AQ13" si="11">AO12/$AN$11</f>
        <v>4.1362858293241709E-3</v>
      </c>
      <c r="AP13" s="174">
        <f t="shared" si="11"/>
        <v>1.4508667091905176E-2</v>
      </c>
      <c r="AQ13" s="174">
        <f t="shared" si="11"/>
        <v>0.84296236261836488</v>
      </c>
      <c r="AR13" s="184">
        <f>SUM(AN13:AQ13)</f>
        <v>1</v>
      </c>
    </row>
    <row r="14" spans="1:44" x14ac:dyDescent="0.25">
      <c r="B14" s="123" t="s">
        <v>567</v>
      </c>
      <c r="C14" s="11" t="s">
        <v>568</v>
      </c>
      <c r="D14" s="15">
        <f t="shared" si="1"/>
        <v>14.362</v>
      </c>
      <c r="E14" s="178">
        <v>0</v>
      </c>
      <c r="F14" s="178">
        <v>13.7</v>
      </c>
      <c r="G14" s="178">
        <v>0</v>
      </c>
      <c r="H14" s="178">
        <v>0.66200000000000003</v>
      </c>
      <c r="K14" s="179"/>
      <c r="L14" s="123" t="s">
        <v>567</v>
      </c>
      <c r="M14" s="11" t="s">
        <v>29</v>
      </c>
      <c r="N14" s="180">
        <f t="shared" si="2"/>
        <v>0</v>
      </c>
      <c r="O14" s="180">
        <f t="shared" si="0"/>
        <v>0.95390614120596007</v>
      </c>
      <c r="P14" s="180">
        <f t="shared" si="0"/>
        <v>0</v>
      </c>
      <c r="Q14" s="180">
        <f t="shared" si="0"/>
        <v>4.6093858794039828E-2</v>
      </c>
      <c r="S14" s="179"/>
      <c r="T14" s="181"/>
      <c r="AE14" s="287" t="s">
        <v>593</v>
      </c>
      <c r="AF14" s="178">
        <f>D106</f>
        <v>5759.15</v>
      </c>
      <c r="AG14" s="178">
        <f>AN14*Calculations!$C$47</f>
        <v>5457.9278140831166</v>
      </c>
      <c r="AH14" s="178">
        <f>AO14*Calculations!$C$47</f>
        <v>4817.1622689850356</v>
      </c>
      <c r="AI14" s="178">
        <f>AP14*Calculations!$C$47</f>
        <v>4741.433654496579</v>
      </c>
      <c r="AJ14" s="178">
        <f>AQ14*Calculations!$C$47</f>
        <v>4464.712237785453</v>
      </c>
      <c r="AM14" s="287" t="s">
        <v>593</v>
      </c>
      <c r="AN14" s="15">
        <f>D114</f>
        <v>6262.9209431099989</v>
      </c>
      <c r="AO14" s="15">
        <f>D122</f>
        <v>5527.6484937999994</v>
      </c>
      <c r="AP14" s="15">
        <f>D130</f>
        <v>5440.7506193999998</v>
      </c>
      <c r="AQ14" s="15">
        <f>D138</f>
        <v>5123.2153908</v>
      </c>
    </row>
    <row r="15" spans="1:44" ht="18" x14ac:dyDescent="0.25">
      <c r="B15" s="123" t="s">
        <v>569</v>
      </c>
      <c r="C15" s="11" t="s">
        <v>566</v>
      </c>
      <c r="D15" s="15">
        <f t="shared" si="1"/>
        <v>1.49460339</v>
      </c>
      <c r="E15" s="178">
        <v>0</v>
      </c>
      <c r="F15" s="178">
        <v>1.45</v>
      </c>
      <c r="G15" s="178">
        <v>3.3900000000000002E-6</v>
      </c>
      <c r="H15" s="178">
        <v>4.4600000000000001E-2</v>
      </c>
      <c r="K15" s="179"/>
      <c r="L15" s="123" t="s">
        <v>569</v>
      </c>
      <c r="M15" s="11" t="s">
        <v>29</v>
      </c>
      <c r="N15" s="180">
        <f t="shared" si="2"/>
        <v>0</v>
      </c>
      <c r="O15" s="180">
        <f t="shared" si="0"/>
        <v>0.97015703945379117</v>
      </c>
      <c r="P15" s="180">
        <f t="shared" si="0"/>
        <v>2.2681602508609325E-6</v>
      </c>
      <c r="Q15" s="180">
        <f t="shared" si="0"/>
        <v>2.984069238595799E-2</v>
      </c>
      <c r="S15" s="179"/>
      <c r="T15" s="181"/>
      <c r="AE15" s="287"/>
      <c r="AF15" s="15">
        <f t="shared" ref="AF15:AI15" si="12">AF14-AG14</f>
        <v>301.22218591688306</v>
      </c>
      <c r="AG15" s="15">
        <f t="shared" si="12"/>
        <v>640.76554509808102</v>
      </c>
      <c r="AH15" s="15">
        <f t="shared" si="12"/>
        <v>75.728614488456515</v>
      </c>
      <c r="AI15" s="15">
        <f t="shared" si="12"/>
        <v>276.72141671112604</v>
      </c>
      <c r="AJ15" s="15">
        <f>AJ14-AK14</f>
        <v>4464.712237785453</v>
      </c>
      <c r="AM15" s="287"/>
      <c r="AN15" s="15">
        <f t="shared" ref="AN15:AP15" si="13">AN14-AO14</f>
        <v>735.2724493099995</v>
      </c>
      <c r="AO15" s="15">
        <f t="shared" si="13"/>
        <v>86.897874399999637</v>
      </c>
      <c r="AP15" s="15">
        <f t="shared" si="13"/>
        <v>317.53522859999975</v>
      </c>
      <c r="AQ15" s="15">
        <f>AQ14-AR14</f>
        <v>5123.2153908</v>
      </c>
    </row>
    <row r="16" spans="1:44" ht="18" x14ac:dyDescent="0.25">
      <c r="B16" s="123" t="s">
        <v>570</v>
      </c>
      <c r="C16" s="11" t="s">
        <v>571</v>
      </c>
      <c r="D16" s="15">
        <f t="shared" si="1"/>
        <v>0.12822</v>
      </c>
      <c r="E16" s="178">
        <v>0</v>
      </c>
      <c r="F16" s="178">
        <v>0.126</v>
      </c>
      <c r="G16" s="178">
        <v>0</v>
      </c>
      <c r="H16" s="178">
        <v>2.2200000000000002E-3</v>
      </c>
      <c r="K16" s="179"/>
      <c r="L16" s="123" t="s">
        <v>570</v>
      </c>
      <c r="M16" s="11" t="s">
        <v>29</v>
      </c>
      <c r="N16" s="180">
        <f t="shared" si="2"/>
        <v>0</v>
      </c>
      <c r="O16" s="180">
        <f t="shared" si="0"/>
        <v>0.98268600842302289</v>
      </c>
      <c r="P16" s="180">
        <f t="shared" si="0"/>
        <v>0</v>
      </c>
      <c r="Q16" s="180">
        <f t="shared" si="0"/>
        <v>1.7313991576977071E-2</v>
      </c>
      <c r="S16" s="179"/>
      <c r="T16" s="181"/>
      <c r="AE16" s="123" t="s">
        <v>597</v>
      </c>
      <c r="AF16" s="182">
        <f>AF15/$AF$14</f>
        <v>5.2303236747937298E-2</v>
      </c>
      <c r="AG16" s="182">
        <f>AG15/$AF$14</f>
        <v>0.1112604368870547</v>
      </c>
      <c r="AH16" s="182">
        <f>AH15/$AF$14</f>
        <v>1.3149269334616484E-2</v>
      </c>
      <c r="AI16" s="182">
        <f>AI15/$AF$14</f>
        <v>4.8049003188165969E-2</v>
      </c>
      <c r="AJ16" s="182">
        <f>AJ15/$AF$14</f>
        <v>0.77523805384222555</v>
      </c>
      <c r="AK16" s="183">
        <f>SUM(AF16:AJ16)</f>
        <v>1</v>
      </c>
      <c r="AM16" s="123" t="s">
        <v>597</v>
      </c>
      <c r="AN16" s="174">
        <f>AN15/$AN$14</f>
        <v>0.11740088306860902</v>
      </c>
      <c r="AO16" s="174">
        <f t="shared" ref="AO16:AQ16" si="14">AO15/$AN$14</f>
        <v>1.3874975461026413E-2</v>
      </c>
      <c r="AP16" s="174">
        <f t="shared" si="14"/>
        <v>5.0700820189871383E-2</v>
      </c>
      <c r="AQ16" s="174">
        <f t="shared" si="14"/>
        <v>0.81802332128049315</v>
      </c>
      <c r="AR16" s="184">
        <f>SUM(AN16:AQ16)</f>
        <v>1</v>
      </c>
    </row>
    <row r="17" spans="2:45" ht="18" x14ac:dyDescent="0.25">
      <c r="B17" s="171" t="s">
        <v>572</v>
      </c>
      <c r="C17" s="161" t="s">
        <v>573</v>
      </c>
      <c r="D17" s="185">
        <f t="shared" si="1"/>
        <v>350.10000002370003</v>
      </c>
      <c r="E17" s="186">
        <v>0</v>
      </c>
      <c r="F17" s="186">
        <v>332</v>
      </c>
      <c r="G17" s="186">
        <v>2.37E-8</v>
      </c>
      <c r="H17" s="186">
        <v>18.100000000000001</v>
      </c>
      <c r="K17" s="179"/>
      <c r="L17" s="187" t="s">
        <v>572</v>
      </c>
      <c r="M17" s="153" t="s">
        <v>29</v>
      </c>
      <c r="N17" s="188">
        <f t="shared" si="2"/>
        <v>0</v>
      </c>
      <c r="O17" s="188">
        <f t="shared" si="0"/>
        <v>0.9483004855113546</v>
      </c>
      <c r="P17" s="188">
        <f t="shared" si="0"/>
        <v>6.7694944297045494E-11</v>
      </c>
      <c r="Q17" s="188">
        <f t="shared" si="0"/>
        <v>5.169951442095036E-2</v>
      </c>
      <c r="S17" s="179"/>
      <c r="T17" s="181"/>
    </row>
    <row r="18" spans="2:45" x14ac:dyDescent="0.25">
      <c r="B18" s="123" t="s">
        <v>574</v>
      </c>
      <c r="C18" s="11" t="s">
        <v>575</v>
      </c>
      <c r="D18" s="15">
        <f t="shared" si="1"/>
        <v>5738.03</v>
      </c>
      <c r="E18" s="178">
        <v>0</v>
      </c>
      <c r="F18" s="178">
        <v>5440</v>
      </c>
      <c r="G18" s="178">
        <v>2.0299999999999998</v>
      </c>
      <c r="H18" s="178">
        <v>296</v>
      </c>
      <c r="K18" s="179"/>
      <c r="L18" s="123" t="s">
        <v>574</v>
      </c>
      <c r="M18" s="11" t="s">
        <v>29</v>
      </c>
      <c r="N18" s="180">
        <f t="shared" si="2"/>
        <v>0</v>
      </c>
      <c r="O18" s="180">
        <f t="shared" si="0"/>
        <v>0.94806057131105981</v>
      </c>
      <c r="P18" s="180">
        <f t="shared" si="0"/>
        <v>3.5377995583850207E-4</v>
      </c>
      <c r="Q18" s="180">
        <f t="shared" si="0"/>
        <v>5.1585648733101779E-2</v>
      </c>
      <c r="S18" s="179"/>
      <c r="T18" s="181"/>
    </row>
    <row r="19" spans="2:45" x14ac:dyDescent="0.25">
      <c r="B19" s="123" t="s">
        <v>576</v>
      </c>
      <c r="C19" s="11" t="s">
        <v>577</v>
      </c>
      <c r="D19" s="15">
        <f t="shared" si="1"/>
        <v>16.286999999999999</v>
      </c>
      <c r="E19" s="178">
        <v>0</v>
      </c>
      <c r="F19" s="178">
        <v>15.8</v>
      </c>
      <c r="G19" s="178">
        <v>0.12</v>
      </c>
      <c r="H19" s="178">
        <v>0.36699999999999999</v>
      </c>
      <c r="K19" s="179"/>
      <c r="L19" s="123" t="s">
        <v>576</v>
      </c>
      <c r="M19" s="11" t="s">
        <v>29</v>
      </c>
      <c r="N19" s="180">
        <f t="shared" si="2"/>
        <v>0</v>
      </c>
      <c r="O19" s="180">
        <f t="shared" si="0"/>
        <v>0.97009885184502986</v>
      </c>
      <c r="P19" s="180">
        <f t="shared" si="0"/>
        <v>7.3678393811014925E-3</v>
      </c>
      <c r="Q19" s="180">
        <f t="shared" si="0"/>
        <v>2.2533308773868731E-2</v>
      </c>
      <c r="S19" s="179"/>
      <c r="T19" s="181"/>
    </row>
    <row r="21" spans="2:45" ht="17.25" x14ac:dyDescent="0.25">
      <c r="B21" s="282" t="s">
        <v>617</v>
      </c>
      <c r="C21" s="282"/>
      <c r="D21" s="282"/>
      <c r="E21" s="282"/>
      <c r="F21" s="282"/>
      <c r="G21" s="282"/>
      <c r="H21" s="282"/>
      <c r="I21" s="282"/>
      <c r="J21" s="282"/>
      <c r="K21" s="282"/>
      <c r="L21" s="282"/>
      <c r="M21" s="282"/>
      <c r="N21" s="282"/>
      <c r="O21" s="282"/>
      <c r="P21" s="282"/>
      <c r="Q21" s="282"/>
      <c r="R21" s="282"/>
      <c r="S21" s="282"/>
      <c r="T21" s="282"/>
      <c r="U21" s="282"/>
      <c r="V21" s="282"/>
      <c r="W21" s="282"/>
      <c r="X21" s="282"/>
      <c r="Y21" s="282"/>
    </row>
    <row r="23" spans="2:45" ht="30.95" customHeight="1" x14ac:dyDescent="0.25">
      <c r="B23" s="162" t="s">
        <v>547</v>
      </c>
      <c r="C23" s="162" t="s">
        <v>337</v>
      </c>
      <c r="D23" s="162" t="s">
        <v>213</v>
      </c>
      <c r="E23" s="162" t="s">
        <v>578</v>
      </c>
      <c r="F23" s="162" t="s">
        <v>218</v>
      </c>
      <c r="G23" s="162" t="s">
        <v>579</v>
      </c>
      <c r="H23" s="162" t="s">
        <v>316</v>
      </c>
      <c r="I23" s="162" t="s">
        <v>580</v>
      </c>
      <c r="J23" s="162" t="s">
        <v>581</v>
      </c>
      <c r="L23" s="122" t="s">
        <v>547</v>
      </c>
      <c r="M23" s="122" t="s">
        <v>337</v>
      </c>
      <c r="N23" s="162" t="s">
        <v>578</v>
      </c>
      <c r="O23" s="162" t="s">
        <v>218</v>
      </c>
      <c r="P23" s="162" t="s">
        <v>579</v>
      </c>
      <c r="Q23" s="162" t="s">
        <v>316</v>
      </c>
      <c r="R23" s="162" t="s">
        <v>580</v>
      </c>
      <c r="S23" s="162" t="s">
        <v>581</v>
      </c>
    </row>
    <row r="24" spans="2:45" ht="18" x14ac:dyDescent="0.25">
      <c r="B24" s="123" t="s">
        <v>550</v>
      </c>
      <c r="C24" s="11" t="s">
        <v>551</v>
      </c>
      <c r="D24" s="15">
        <f>SUM(E24:J24)</f>
        <v>5.1456721646299997</v>
      </c>
      <c r="E24" s="178">
        <f>D43</f>
        <v>4.2409457799999997</v>
      </c>
      <c r="F24" s="178">
        <v>0.87846139999999995</v>
      </c>
      <c r="G24" s="178">
        <v>0</v>
      </c>
      <c r="H24" s="178">
        <v>1.4629999999999999E-8</v>
      </c>
      <c r="I24" s="178">
        <v>1.3694E-4</v>
      </c>
      <c r="J24" s="178">
        <v>2.612803E-2</v>
      </c>
      <c r="L24" s="123" t="s">
        <v>550</v>
      </c>
      <c r="M24" s="11" t="s">
        <v>29</v>
      </c>
      <c r="N24" s="180">
        <f>E24/$D24</f>
        <v>0.82417722006293914</v>
      </c>
      <c r="O24" s="180">
        <f t="shared" ref="O24:S38" si="15">F24/$D24</f>
        <v>0.17071849350184279</v>
      </c>
      <c r="P24" s="180">
        <f t="shared" si="15"/>
        <v>0</v>
      </c>
      <c r="Q24" s="180">
        <f t="shared" si="15"/>
        <v>2.8431659717000202E-9</v>
      </c>
      <c r="R24" s="180">
        <f t="shared" si="15"/>
        <v>2.6612655376937851E-5</v>
      </c>
      <c r="S24" s="180">
        <f t="shared" si="15"/>
        <v>5.0776709366751388E-3</v>
      </c>
      <c r="T24" s="181"/>
    </row>
    <row r="25" spans="2:45" ht="18" x14ac:dyDescent="0.25">
      <c r="B25" s="123" t="s">
        <v>552</v>
      </c>
      <c r="C25" s="11" t="s">
        <v>551</v>
      </c>
      <c r="D25" s="15">
        <f t="shared" ref="D25:D38" si="16">SUM(E25:J25)</f>
        <v>8.7811060833199992</v>
      </c>
      <c r="E25" s="178">
        <f t="shared" ref="E25:E38" si="17">D44</f>
        <v>4.845089520000001</v>
      </c>
      <c r="F25" s="178">
        <v>3.9256015999999998</v>
      </c>
      <c r="G25" s="178">
        <v>0</v>
      </c>
      <c r="H25" s="178">
        <v>3.1332E-7</v>
      </c>
      <c r="I25" s="178">
        <v>5.5433000000000001E-4</v>
      </c>
      <c r="J25" s="178">
        <v>9.8603200000000005E-3</v>
      </c>
      <c r="L25" s="123" t="s">
        <v>552</v>
      </c>
      <c r="M25" s="11" t="s">
        <v>29</v>
      </c>
      <c r="N25" s="180">
        <f t="shared" ref="N25:N38" si="18">E25/$D25</f>
        <v>0.55176300958297364</v>
      </c>
      <c r="O25" s="180">
        <f t="shared" si="15"/>
        <v>0.44705092533351914</v>
      </c>
      <c r="P25" s="180">
        <f t="shared" si="15"/>
        <v>0</v>
      </c>
      <c r="Q25" s="180">
        <f t="shared" si="15"/>
        <v>3.5681154176597605E-8</v>
      </c>
      <c r="R25" s="180">
        <f t="shared" si="15"/>
        <v>6.3127582646219039E-5</v>
      </c>
      <c r="S25" s="180">
        <f t="shared" si="15"/>
        <v>1.1229018197069732E-3</v>
      </c>
      <c r="T25" s="181"/>
      <c r="AS25" s="128" t="s">
        <v>572</v>
      </c>
    </row>
    <row r="26" spans="2:45" x14ac:dyDescent="0.25">
      <c r="B26" s="123" t="s">
        <v>553</v>
      </c>
      <c r="C26" s="11" t="s">
        <v>554</v>
      </c>
      <c r="D26" s="15">
        <f t="shared" si="16"/>
        <v>0.33162742421149999</v>
      </c>
      <c r="E26" s="178">
        <f t="shared" si="17"/>
        <v>0.25360643999999999</v>
      </c>
      <c r="F26" s="178">
        <v>7.4588920000000003E-2</v>
      </c>
      <c r="G26" s="178">
        <v>1.9337E-4</v>
      </c>
      <c r="H26" s="178">
        <v>4.2115000000000002E-9</v>
      </c>
      <c r="I26" s="178">
        <v>1.0337199999999999E-3</v>
      </c>
      <c r="J26" s="178">
        <v>2.2049700000000001E-3</v>
      </c>
      <c r="L26" s="123" t="s">
        <v>553</v>
      </c>
      <c r="M26" s="11" t="s">
        <v>29</v>
      </c>
      <c r="N26" s="180">
        <f t="shared" si="18"/>
        <v>0.76473301507856895</v>
      </c>
      <c r="O26" s="180">
        <f t="shared" si="15"/>
        <v>0.22491782812397892</v>
      </c>
      <c r="P26" s="180">
        <f t="shared" si="15"/>
        <v>5.8309411671778868E-4</v>
      </c>
      <c r="Q26" s="180">
        <f t="shared" si="15"/>
        <v>1.2699492540502493E-8</v>
      </c>
      <c r="R26" s="180">
        <f t="shared" si="15"/>
        <v>3.1171125321069063E-3</v>
      </c>
      <c r="S26" s="180">
        <f t="shared" si="15"/>
        <v>6.6489374491349364E-3</v>
      </c>
      <c r="T26" s="181"/>
      <c r="AS26" s="128" t="s">
        <v>588</v>
      </c>
    </row>
    <row r="27" spans="2:45" x14ac:dyDescent="0.25">
      <c r="B27" s="123" t="s">
        <v>555</v>
      </c>
      <c r="C27" s="11" t="s">
        <v>556</v>
      </c>
      <c r="D27" s="15">
        <f t="shared" si="16"/>
        <v>9671.7412318499992</v>
      </c>
      <c r="E27" s="178">
        <f t="shared" si="17"/>
        <v>9213.2304703999998</v>
      </c>
      <c r="F27" s="178">
        <v>378.77173599999998</v>
      </c>
      <c r="G27" s="178">
        <v>0</v>
      </c>
      <c r="H27" s="178">
        <v>2.87587E-3</v>
      </c>
      <c r="I27" s="178">
        <v>0.99299488000000002</v>
      </c>
      <c r="J27" s="178">
        <v>78.743154700000005</v>
      </c>
      <c r="L27" s="123" t="s">
        <v>555</v>
      </c>
      <c r="M27" s="11" t="s">
        <v>29</v>
      </c>
      <c r="N27" s="180">
        <f t="shared" si="18"/>
        <v>0.95259273894342023</v>
      </c>
      <c r="O27" s="180">
        <f t="shared" si="15"/>
        <v>3.9162724365770583E-2</v>
      </c>
      <c r="P27" s="180">
        <f t="shared" si="15"/>
        <v>0</v>
      </c>
      <c r="Q27" s="180">
        <f t="shared" si="15"/>
        <v>2.9734769893651373E-7</v>
      </c>
      <c r="R27" s="180">
        <f t="shared" si="15"/>
        <v>1.026697112956217E-4</v>
      </c>
      <c r="S27" s="180">
        <f t="shared" si="15"/>
        <v>8.1415696318146956E-3</v>
      </c>
      <c r="T27" s="181"/>
      <c r="AS27" s="128" t="s">
        <v>590</v>
      </c>
    </row>
    <row r="28" spans="2:45" x14ac:dyDescent="0.25">
      <c r="B28" s="123" t="s">
        <v>557</v>
      </c>
      <c r="C28" s="11" t="s">
        <v>558</v>
      </c>
      <c r="D28" s="15">
        <f t="shared" si="16"/>
        <v>5.3426441200010397E-5</v>
      </c>
      <c r="E28" s="178">
        <f t="shared" si="17"/>
        <v>4.8508525999999996E-5</v>
      </c>
      <c r="F28" s="178">
        <v>4.6820999999999996E-6</v>
      </c>
      <c r="G28" s="178">
        <v>0</v>
      </c>
      <c r="H28" s="178">
        <v>1.0402999999999999E-17</v>
      </c>
      <c r="I28" s="178">
        <v>2.2652E-9</v>
      </c>
      <c r="J28" s="178">
        <v>2.3355E-7</v>
      </c>
      <c r="L28" s="123" t="s">
        <v>557</v>
      </c>
      <c r="M28" s="11" t="s">
        <v>29</v>
      </c>
      <c r="N28" s="180">
        <f t="shared" si="18"/>
        <v>0.90794978872728205</v>
      </c>
      <c r="O28" s="180">
        <f t="shared" si="15"/>
        <v>8.7636381814611461E-2</v>
      </c>
      <c r="P28" s="180">
        <f t="shared" si="15"/>
        <v>0</v>
      </c>
      <c r="Q28" s="180">
        <f t="shared" si="15"/>
        <v>1.9471631960389634E-13</v>
      </c>
      <c r="R28" s="180">
        <f t="shared" si="15"/>
        <v>4.2398481896255501E-5</v>
      </c>
      <c r="S28" s="180">
        <f t="shared" si="15"/>
        <v>4.3714309760155712E-3</v>
      </c>
      <c r="T28" s="181"/>
      <c r="AS28" s="128" t="s">
        <v>593</v>
      </c>
    </row>
    <row r="29" spans="2:45" ht="18" x14ac:dyDescent="0.25">
      <c r="B29" s="123" t="s">
        <v>559</v>
      </c>
      <c r="C29" s="11" t="s">
        <v>560</v>
      </c>
      <c r="D29" s="15">
        <f t="shared" si="16"/>
        <v>0.11923509403400001</v>
      </c>
      <c r="E29" s="178">
        <f t="shared" si="17"/>
        <v>0.10504872000000001</v>
      </c>
      <c r="F29" s="178">
        <v>1.102714E-2</v>
      </c>
      <c r="G29" s="178">
        <v>8.8540000000000005E-4</v>
      </c>
      <c r="H29" s="178">
        <v>7.4034E-8</v>
      </c>
      <c r="I29" s="178">
        <v>2.07245E-3</v>
      </c>
      <c r="J29" s="178">
        <v>2.0131000000000001E-4</v>
      </c>
      <c r="L29" s="123" t="s">
        <v>559</v>
      </c>
      <c r="M29" s="11" t="s">
        <v>29</v>
      </c>
      <c r="N29" s="180">
        <f t="shared" si="18"/>
        <v>0.88102182374297666</v>
      </c>
      <c r="O29" s="180">
        <f t="shared" si="15"/>
        <v>9.2482335753059405E-2</v>
      </c>
      <c r="P29" s="180">
        <f t="shared" si="15"/>
        <v>7.4256661360750662E-3</v>
      </c>
      <c r="Q29" s="180">
        <f t="shared" si="15"/>
        <v>6.2090780067560585E-7</v>
      </c>
      <c r="R29" s="180">
        <f t="shared" si="15"/>
        <v>1.7381208249049887E-2</v>
      </c>
      <c r="S29" s="180">
        <f t="shared" si="15"/>
        <v>1.6883452110382556E-3</v>
      </c>
      <c r="T29" s="181"/>
    </row>
    <row r="30" spans="2:45" x14ac:dyDescent="0.25">
      <c r="B30" s="123" t="s">
        <v>561</v>
      </c>
      <c r="C30" s="11" t="s">
        <v>562</v>
      </c>
      <c r="D30" s="15">
        <f t="shared" si="16"/>
        <v>28219.7947725392</v>
      </c>
      <c r="E30" s="178">
        <f t="shared" si="17"/>
        <v>23908.265868000002</v>
      </c>
      <c r="F30" s="178">
        <v>4219.3481300000003</v>
      </c>
      <c r="G30" s="178">
        <v>1.6391999999999999E-6</v>
      </c>
      <c r="H30" s="178">
        <v>0.13349721000000001</v>
      </c>
      <c r="I30" s="178">
        <v>0.57000578999999996</v>
      </c>
      <c r="J30" s="178">
        <v>91.477269899999996</v>
      </c>
      <c r="L30" s="123" t="s">
        <v>561</v>
      </c>
      <c r="M30" s="11" t="s">
        <v>29</v>
      </c>
      <c r="N30" s="180">
        <f t="shared" si="18"/>
        <v>0.84721614954001134</v>
      </c>
      <c r="O30" s="180">
        <f t="shared" si="15"/>
        <v>0.14951732158257455</v>
      </c>
      <c r="P30" s="180">
        <f t="shared" si="15"/>
        <v>5.8086885932817349E-11</v>
      </c>
      <c r="Q30" s="180">
        <f t="shared" si="15"/>
        <v>4.7306229926911692E-6</v>
      </c>
      <c r="R30" s="180">
        <f t="shared" si="15"/>
        <v>2.0198792889687313E-5</v>
      </c>
      <c r="S30" s="180">
        <f t="shared" si="15"/>
        <v>3.2415994034448795E-3</v>
      </c>
      <c r="T30" s="181"/>
    </row>
    <row r="31" spans="2:45" x14ac:dyDescent="0.25">
      <c r="B31" s="123" t="s">
        <v>563</v>
      </c>
      <c r="C31" s="11" t="s">
        <v>564</v>
      </c>
      <c r="D31" s="15">
        <f t="shared" si="16"/>
        <v>15180.182959481801</v>
      </c>
      <c r="E31" s="178">
        <f t="shared" si="17"/>
        <v>13804.660994350001</v>
      </c>
      <c r="F31" s="178">
        <v>1352.92813</v>
      </c>
      <c r="G31" s="178">
        <v>6.4938000000000004E-6</v>
      </c>
      <c r="H31" s="178">
        <v>2.8178E-5</v>
      </c>
      <c r="I31" s="178">
        <v>0.72918685999999999</v>
      </c>
      <c r="J31" s="178">
        <v>21.864613599999998</v>
      </c>
      <c r="L31" s="123" t="s">
        <v>563</v>
      </c>
      <c r="M31" s="11" t="s">
        <v>29</v>
      </c>
      <c r="N31" s="180">
        <f t="shared" si="18"/>
        <v>0.90938699692860914</v>
      </c>
      <c r="O31" s="180">
        <f t="shared" si="15"/>
        <v>8.9124626074084182E-2</v>
      </c>
      <c r="P31" s="180">
        <f t="shared" si="15"/>
        <v>4.2778140535808643E-10</v>
      </c>
      <c r="Q31" s="180">
        <f t="shared" si="15"/>
        <v>1.8562358619267855E-9</v>
      </c>
      <c r="R31" s="180">
        <f t="shared" si="15"/>
        <v>4.803544607771262E-5</v>
      </c>
      <c r="S31" s="180">
        <f t="shared" si="15"/>
        <v>1.4403392672117294E-3</v>
      </c>
      <c r="T31" s="181"/>
    </row>
    <row r="32" spans="2:45" ht="18.75" thickBot="1" x14ac:dyDescent="0.3">
      <c r="B32" s="123" t="s">
        <v>565</v>
      </c>
      <c r="C32" s="11" t="s">
        <v>566</v>
      </c>
      <c r="D32" s="15">
        <f t="shared" si="16"/>
        <v>5.0101798416700003</v>
      </c>
      <c r="E32" s="178">
        <f t="shared" si="17"/>
        <v>3.8208393000000003</v>
      </c>
      <c r="F32" s="178">
        <v>1.1252619100000001</v>
      </c>
      <c r="G32" s="178">
        <v>2.47912E-3</v>
      </c>
      <c r="H32" s="178">
        <v>1.8167000000000001E-7</v>
      </c>
      <c r="I32" s="178">
        <v>2.7223299999999999E-2</v>
      </c>
      <c r="J32" s="178">
        <v>3.4376030000000002E-2</v>
      </c>
      <c r="L32" s="123" t="s">
        <v>565</v>
      </c>
      <c r="M32" s="11" t="s">
        <v>29</v>
      </c>
      <c r="N32" s="180">
        <f t="shared" si="18"/>
        <v>0.76261519960258206</v>
      </c>
      <c r="O32" s="180">
        <f t="shared" si="15"/>
        <v>0.22459511346102223</v>
      </c>
      <c r="P32" s="180">
        <f t="shared" si="15"/>
        <v>4.9481656913410446E-4</v>
      </c>
      <c r="Q32" s="180">
        <f t="shared" si="15"/>
        <v>3.6260175431037122E-8</v>
      </c>
      <c r="R32" s="180">
        <f t="shared" si="15"/>
        <v>5.433597367819413E-3</v>
      </c>
      <c r="S32" s="180">
        <f t="shared" si="15"/>
        <v>6.8612367392667751E-3</v>
      </c>
      <c r="T32" s="181"/>
    </row>
    <row r="33" spans="2:43" ht="18" thickBot="1" x14ac:dyDescent="0.3">
      <c r="B33" s="123" t="s">
        <v>567</v>
      </c>
      <c r="C33" s="11" t="s">
        <v>568</v>
      </c>
      <c r="D33" s="15">
        <f t="shared" si="16"/>
        <v>15.700410590000002</v>
      </c>
      <c r="E33" s="178">
        <f t="shared" si="17"/>
        <v>8.7997214100000001</v>
      </c>
      <c r="F33" s="178">
        <v>6.8756502700000004</v>
      </c>
      <c r="G33" s="178">
        <v>0</v>
      </c>
      <c r="H33" s="178">
        <v>0</v>
      </c>
      <c r="I33" s="178">
        <v>1.0483000000000001E-3</v>
      </c>
      <c r="J33" s="178">
        <v>2.3990609999999999E-2</v>
      </c>
      <c r="L33" s="123" t="s">
        <v>567</v>
      </c>
      <c r="M33" s="11" t="s">
        <v>29</v>
      </c>
      <c r="N33" s="180">
        <f t="shared" si="18"/>
        <v>0.56047715182714841</v>
      </c>
      <c r="O33" s="180">
        <f t="shared" si="15"/>
        <v>0.43792805484840502</v>
      </c>
      <c r="P33" s="180">
        <f t="shared" si="15"/>
        <v>0</v>
      </c>
      <c r="Q33" s="180">
        <f t="shared" si="15"/>
        <v>0</v>
      </c>
      <c r="R33" s="180">
        <f t="shared" si="15"/>
        <v>6.6768954479935026E-5</v>
      </c>
      <c r="S33" s="180">
        <f t="shared" si="15"/>
        <v>1.5280243699664923E-3</v>
      </c>
      <c r="T33" s="181"/>
      <c r="AF33" s="279" t="s">
        <v>609</v>
      </c>
      <c r="AG33" s="280"/>
      <c r="AH33" s="280"/>
      <c r="AI33" s="280"/>
      <c r="AJ33" s="281"/>
      <c r="AN33" s="279" t="s">
        <v>610</v>
      </c>
      <c r="AO33" s="280"/>
      <c r="AP33" s="280"/>
      <c r="AQ33" s="281"/>
    </row>
    <row r="34" spans="2:43" ht="18" x14ac:dyDescent="0.25">
      <c r="B34" s="123" t="s">
        <v>569</v>
      </c>
      <c r="C34" s="11" t="s">
        <v>566</v>
      </c>
      <c r="D34" s="15">
        <f t="shared" si="16"/>
        <v>1.6629071982399999</v>
      </c>
      <c r="E34" s="178">
        <f t="shared" si="17"/>
        <v>1.22028998</v>
      </c>
      <c r="F34" s="178">
        <v>0.42059669999999999</v>
      </c>
      <c r="G34" s="178">
        <v>2.47912E-3</v>
      </c>
      <c r="H34" s="178">
        <v>6.4824000000000004E-7</v>
      </c>
      <c r="I34" s="178">
        <v>7.7548499999999998E-3</v>
      </c>
      <c r="J34" s="178">
        <v>1.17859E-2</v>
      </c>
      <c r="L34" s="123" t="s">
        <v>569</v>
      </c>
      <c r="M34" s="11" t="s">
        <v>29</v>
      </c>
      <c r="N34" s="180">
        <f t="shared" si="18"/>
        <v>0.73382927278896837</v>
      </c>
      <c r="O34" s="180">
        <f t="shared" si="15"/>
        <v>0.25292854613002713</v>
      </c>
      <c r="P34" s="180">
        <f t="shared" si="15"/>
        <v>1.4908348479240872E-3</v>
      </c>
      <c r="Q34" s="180">
        <f t="shared" si="15"/>
        <v>3.8982331707150535E-7</v>
      </c>
      <c r="R34" s="180">
        <f t="shared" si="15"/>
        <v>4.6634292089225635E-3</v>
      </c>
      <c r="S34" s="180">
        <f t="shared" si="15"/>
        <v>7.087527200840822E-3</v>
      </c>
      <c r="T34" s="181"/>
    </row>
    <row r="35" spans="2:43" ht="30" x14ac:dyDescent="0.25">
      <c r="B35" s="123" t="s">
        <v>570</v>
      </c>
      <c r="C35" s="11" t="s">
        <v>571</v>
      </c>
      <c r="D35" s="15">
        <f t="shared" si="16"/>
        <v>0.14439479899999996</v>
      </c>
      <c r="E35" s="178">
        <f t="shared" si="17"/>
        <v>5.7655006299999985E-2</v>
      </c>
      <c r="F35" s="178">
        <v>7.4828389999999995E-2</v>
      </c>
      <c r="G35" s="178">
        <v>1.168728E-2</v>
      </c>
      <c r="H35" s="178">
        <v>0</v>
      </c>
      <c r="I35" s="178">
        <v>1.7927E-6</v>
      </c>
      <c r="J35" s="178">
        <v>2.2232999999999999E-4</v>
      </c>
      <c r="L35" s="123" t="s">
        <v>570</v>
      </c>
      <c r="M35" s="11" t="s">
        <v>29</v>
      </c>
      <c r="N35" s="180">
        <f t="shared" si="18"/>
        <v>0.39928727834580802</v>
      </c>
      <c r="O35" s="180">
        <f t="shared" si="15"/>
        <v>0.51822081209448556</v>
      </c>
      <c r="P35" s="180">
        <f t="shared" si="15"/>
        <v>8.0939757393893405E-2</v>
      </c>
      <c r="Q35" s="180">
        <f t="shared" si="15"/>
        <v>0</v>
      </c>
      <c r="R35" s="180">
        <f t="shared" si="15"/>
        <v>1.2415267117758172E-5</v>
      </c>
      <c r="S35" s="180">
        <f t="shared" si="15"/>
        <v>1.5397368986953613E-3</v>
      </c>
      <c r="T35" s="181"/>
      <c r="AF35" s="162" t="s">
        <v>615</v>
      </c>
      <c r="AG35" s="162" t="s">
        <v>548</v>
      </c>
      <c r="AH35" s="162" t="s">
        <v>578</v>
      </c>
      <c r="AI35" s="162" t="s">
        <v>583</v>
      </c>
      <c r="AJ35" s="162" t="s">
        <v>596</v>
      </c>
      <c r="AN35" s="162" t="s">
        <v>548</v>
      </c>
      <c r="AO35" s="162" t="s">
        <v>578</v>
      </c>
      <c r="AP35" s="162" t="s">
        <v>583</v>
      </c>
      <c r="AQ35" s="162" t="s">
        <v>596</v>
      </c>
    </row>
    <row r="36" spans="2:43" ht="18" x14ac:dyDescent="0.25">
      <c r="B36" s="171" t="s">
        <v>572</v>
      </c>
      <c r="C36" s="161" t="s">
        <v>573</v>
      </c>
      <c r="D36" s="185">
        <f t="shared" si="16"/>
        <v>381.65437635454208</v>
      </c>
      <c r="E36" s="186">
        <f t="shared" si="17"/>
        <v>322.68956395000004</v>
      </c>
      <c r="F36" s="186">
        <v>48.4310999</v>
      </c>
      <c r="G36" s="186">
        <v>2.1249600000000002</v>
      </c>
      <c r="H36" s="186">
        <v>4.5420999999999999E-9</v>
      </c>
      <c r="I36" s="186">
        <v>6.68803503</v>
      </c>
      <c r="J36" s="186">
        <v>1.7207174700000001</v>
      </c>
      <c r="L36" s="187" t="s">
        <v>572</v>
      </c>
      <c r="M36" s="153" t="s">
        <v>29</v>
      </c>
      <c r="N36" s="188">
        <f t="shared" si="18"/>
        <v>0.84550206664008998</v>
      </c>
      <c r="O36" s="188">
        <f t="shared" si="15"/>
        <v>0.12689779785207911</v>
      </c>
      <c r="P36" s="188">
        <f t="shared" si="15"/>
        <v>5.5677600773166424E-3</v>
      </c>
      <c r="Q36" s="188">
        <f t="shared" si="15"/>
        <v>1.1901081924920902E-11</v>
      </c>
      <c r="R36" s="188">
        <f t="shared" si="15"/>
        <v>1.7523800182464241E-2</v>
      </c>
      <c r="S36" s="188">
        <f t="shared" si="15"/>
        <v>4.5085752361490559E-3</v>
      </c>
      <c r="T36" s="181"/>
      <c r="AE36" s="286" t="str">
        <f>$B$24</f>
        <v>Carcinogens</v>
      </c>
      <c r="AF36" s="15">
        <f>D5</f>
        <v>4.6240000765000007</v>
      </c>
      <c r="AG36" s="15">
        <f>AN36*Calculations!$C$47</f>
        <v>4.4842825711194818</v>
      </c>
      <c r="AH36" s="15">
        <f>AO36*Calculations!$C$47</f>
        <v>3.6958435434419434</v>
      </c>
      <c r="AI36" s="15">
        <f>AP36*Calculations!$C$47</f>
        <v>3.639410323716409</v>
      </c>
      <c r="AJ36" s="15">
        <f>AQ36*Calculations!$C$47</f>
        <v>3.5019171033273104</v>
      </c>
      <c r="AM36" s="286" t="str">
        <f>$B$24</f>
        <v>Carcinogens</v>
      </c>
      <c r="AN36" s="15">
        <f>D24</f>
        <v>5.1456721646299997</v>
      </c>
      <c r="AO36" s="15">
        <f>D43</f>
        <v>4.2409457799999997</v>
      </c>
      <c r="AP36" s="15">
        <f>D62</f>
        <v>4.1761891899999997</v>
      </c>
      <c r="AQ36" s="15">
        <f>D81</f>
        <v>4.0184170100000003</v>
      </c>
    </row>
    <row r="37" spans="2:43" x14ac:dyDescent="0.25">
      <c r="B37" s="123" t="s">
        <v>574</v>
      </c>
      <c r="C37" s="11" t="s">
        <v>575</v>
      </c>
      <c r="D37" s="15">
        <f t="shared" si="16"/>
        <v>6248.3314473199989</v>
      </c>
      <c r="E37" s="178">
        <f t="shared" si="17"/>
        <v>5518.6655724999991</v>
      </c>
      <c r="F37" s="178">
        <v>556.53892299999995</v>
      </c>
      <c r="G37" s="178">
        <v>24.7912</v>
      </c>
      <c r="H37" s="178">
        <v>0.38869322000000001</v>
      </c>
      <c r="I37" s="178">
        <v>112.90500299999999</v>
      </c>
      <c r="J37" s="178">
        <v>35.042055599999998</v>
      </c>
      <c r="L37" s="123" t="s">
        <v>574</v>
      </c>
      <c r="M37" s="11" t="s">
        <v>29</v>
      </c>
      <c r="N37" s="180">
        <f t="shared" si="18"/>
        <v>0.88322228406545811</v>
      </c>
      <c r="O37" s="180">
        <f t="shared" si="15"/>
        <v>8.9070006559704457E-2</v>
      </c>
      <c r="P37" s="180">
        <f t="shared" si="15"/>
        <v>3.9676512376169339E-3</v>
      </c>
      <c r="Q37" s="180">
        <f t="shared" si="15"/>
        <v>6.2207522644579981E-5</v>
      </c>
      <c r="R37" s="180">
        <f t="shared" si="15"/>
        <v>1.8069624499261576E-2</v>
      </c>
      <c r="S37" s="180">
        <f t="shared" si="15"/>
        <v>5.6082261153143614E-3</v>
      </c>
      <c r="T37" s="181"/>
      <c r="AE37" s="286"/>
      <c r="AF37" s="15">
        <f>AF36-AG36</f>
        <v>0.13971750538051886</v>
      </c>
      <c r="AG37" s="15">
        <f>AG36-AH36</f>
        <v>0.78843902767753837</v>
      </c>
      <c r="AH37" s="15">
        <f t="shared" ref="AH37:AJ37" si="19">AH36-AI36</f>
        <v>5.6433219725534389E-2</v>
      </c>
      <c r="AI37" s="15">
        <f t="shared" si="19"/>
        <v>0.13749322038909861</v>
      </c>
      <c r="AJ37" s="15">
        <f t="shared" si="19"/>
        <v>3.5019171033273104</v>
      </c>
      <c r="AM37" s="286"/>
      <c r="AN37" s="15">
        <f>AN36-AO36</f>
        <v>0.90472638462999999</v>
      </c>
      <c r="AO37" s="15">
        <f t="shared" ref="AO37:AQ37" si="20">AO36-AP36</f>
        <v>6.4756590000000003E-2</v>
      </c>
      <c r="AP37" s="15">
        <f t="shared" si="20"/>
        <v>0.15777217999999937</v>
      </c>
      <c r="AQ37" s="15">
        <f t="shared" si="20"/>
        <v>4.0184170100000003</v>
      </c>
    </row>
    <row r="38" spans="2:43" ht="30" x14ac:dyDescent="0.25">
      <c r="B38" s="123" t="s">
        <v>576</v>
      </c>
      <c r="C38" s="11" t="s">
        <v>577</v>
      </c>
      <c r="D38" s="15">
        <f t="shared" si="16"/>
        <v>18.099492040000001</v>
      </c>
      <c r="E38" s="178">
        <f t="shared" si="17"/>
        <v>12.492918679999999</v>
      </c>
      <c r="F38" s="178">
        <v>5.5635632900000003</v>
      </c>
      <c r="G38" s="178">
        <v>0</v>
      </c>
      <c r="H38" s="178">
        <v>2.3045179999999998E-2</v>
      </c>
      <c r="I38" s="178">
        <v>4.1555999999999999E-4</v>
      </c>
      <c r="J38" s="178">
        <v>1.954933E-2</v>
      </c>
      <c r="L38" s="123" t="s">
        <v>576</v>
      </c>
      <c r="M38" s="11" t="s">
        <v>29</v>
      </c>
      <c r="N38" s="180">
        <f t="shared" si="18"/>
        <v>0.69023587249799956</v>
      </c>
      <c r="O38" s="180">
        <f t="shared" si="15"/>
        <v>0.30738781385159802</v>
      </c>
      <c r="P38" s="180">
        <f t="shared" si="15"/>
        <v>0</v>
      </c>
      <c r="Q38" s="180">
        <f t="shared" si="15"/>
        <v>1.2732500972441653E-3</v>
      </c>
      <c r="R38" s="180">
        <f t="shared" si="15"/>
        <v>2.2959760366843973E-5</v>
      </c>
      <c r="S38" s="180">
        <f t="shared" si="15"/>
        <v>1.0801037927913031E-3</v>
      </c>
      <c r="T38" s="181"/>
      <c r="AE38" s="123" t="s">
        <v>597</v>
      </c>
      <c r="AF38" s="174">
        <f>AF37/$AF36</f>
        <v>3.021572298205364E-2</v>
      </c>
      <c r="AG38" s="174">
        <f t="shared" ref="AG38:AJ38" si="21">AG37/$AF36</f>
        <v>0.17051016752454812</v>
      </c>
      <c r="AH38" s="174">
        <f t="shared" si="21"/>
        <v>1.2204415828697355E-2</v>
      </c>
      <c r="AI38" s="174">
        <f t="shared" si="21"/>
        <v>2.9734692498787765E-2</v>
      </c>
      <c r="AJ38" s="174">
        <f t="shared" si="21"/>
        <v>0.75733500116591312</v>
      </c>
      <c r="AM38" s="173" t="s">
        <v>597</v>
      </c>
      <c r="AN38" s="174">
        <f>AN37/$AN$36</f>
        <v>0.17582277993706086</v>
      </c>
      <c r="AO38" s="174">
        <f t="shared" ref="AO38:AQ38" si="22">AO37/$AN$36</f>
        <v>1.2584670754021178E-2</v>
      </c>
      <c r="AP38" s="174">
        <f t="shared" si="22"/>
        <v>3.0661141042852273E-2</v>
      </c>
      <c r="AQ38" s="174">
        <f t="shared" si="22"/>
        <v>0.78093140826606566</v>
      </c>
    </row>
    <row r="39" spans="2:43" x14ac:dyDescent="0.25">
      <c r="AE39" s="286" t="str">
        <f>$B$25</f>
        <v>Non-carcinogens</v>
      </c>
      <c r="AF39" s="15">
        <f>D6</f>
        <v>7.9860016399999996</v>
      </c>
      <c r="AG39" s="15">
        <f>AN39*Calculations!$C$47</f>
        <v>7.6524426167780417</v>
      </c>
      <c r="AH39" s="15">
        <f>AO39*Calculations!$C$47</f>
        <v>4.2223347688944592</v>
      </c>
      <c r="AI39" s="15">
        <f>AP39*Calculations!$C$47</f>
        <v>4.2010377406799808</v>
      </c>
      <c r="AJ39" s="15">
        <f>AQ39*Calculations!$C$47</f>
        <v>4.1522600171183601</v>
      </c>
      <c r="AM39" s="286" t="str">
        <f>$B$25</f>
        <v>Non-carcinogens</v>
      </c>
      <c r="AN39" s="15">
        <f>D25</f>
        <v>8.7811060833199992</v>
      </c>
      <c r="AO39" s="15">
        <f>D44</f>
        <v>4.845089520000001</v>
      </c>
      <c r="AP39" s="15">
        <f>D63</f>
        <v>4.820651380000001</v>
      </c>
      <c r="AQ39" s="15">
        <f>D82</f>
        <v>4.7646794000000003</v>
      </c>
    </row>
    <row r="40" spans="2:43" x14ac:dyDescent="0.25">
      <c r="B40" s="283" t="s">
        <v>618</v>
      </c>
      <c r="C40" s="284"/>
      <c r="D40" s="284"/>
      <c r="E40" s="284"/>
      <c r="F40" s="284"/>
      <c r="G40" s="284"/>
      <c r="H40" s="284"/>
      <c r="I40" s="284"/>
      <c r="J40" s="284"/>
      <c r="K40" s="285"/>
      <c r="AE40" s="286"/>
      <c r="AF40" s="15">
        <f>AF39-AG39</f>
        <v>0.33355902322195785</v>
      </c>
      <c r="AG40" s="15">
        <f>AG39-AH39</f>
        <v>3.4301078478835825</v>
      </c>
      <c r="AH40" s="15">
        <f t="shared" ref="AH40:AJ40" si="23">AH39-AI39</f>
        <v>2.1297028214478431E-2</v>
      </c>
      <c r="AI40" s="15">
        <f t="shared" si="23"/>
        <v>4.8777723561620689E-2</v>
      </c>
      <c r="AJ40" s="15">
        <f t="shared" si="23"/>
        <v>4.1522600171183601</v>
      </c>
      <c r="AM40" s="286"/>
      <c r="AN40" s="15">
        <f>AN39-AO39</f>
        <v>3.9360165633199982</v>
      </c>
      <c r="AO40" s="15">
        <f t="shared" ref="AO40:AQ40" si="24">AO39-AP39</f>
        <v>2.4438139999999997E-2</v>
      </c>
      <c r="AP40" s="15">
        <f t="shared" si="24"/>
        <v>5.5971980000000698E-2</v>
      </c>
      <c r="AQ40" s="15">
        <f t="shared" si="24"/>
        <v>4.7646794000000003</v>
      </c>
    </row>
    <row r="41" spans="2:43" ht="30" x14ac:dyDescent="0.25">
      <c r="AE41" s="123" t="s">
        <v>597</v>
      </c>
      <c r="AF41" s="174">
        <f>AF40/$AF39</f>
        <v>4.1767963276045345E-2</v>
      </c>
      <c r="AG41" s="174">
        <f t="shared" ref="AG41:AJ41" si="25">AG40/$AF39</f>
        <v>0.42951504426232284</v>
      </c>
      <c r="AH41" s="174">
        <f t="shared" si="25"/>
        <v>2.6667948711413527E-3</v>
      </c>
      <c r="AI41" s="174">
        <f t="shared" si="25"/>
        <v>6.1079030233733705E-3</v>
      </c>
      <c r="AJ41" s="174">
        <f t="shared" si="25"/>
        <v>0.51994229456711716</v>
      </c>
      <c r="AM41" s="173" t="s">
        <v>597</v>
      </c>
      <c r="AN41" s="174">
        <f>AN40/$AN$39</f>
        <v>0.44823699041702636</v>
      </c>
      <c r="AO41" s="174">
        <f t="shared" ref="AO41:AQ41" si="26">AO40/$AN$39</f>
        <v>2.7830366434612435E-3</v>
      </c>
      <c r="AP41" s="174">
        <f t="shared" si="26"/>
        <v>6.3741377759142801E-3</v>
      </c>
      <c r="AQ41" s="174">
        <f t="shared" si="26"/>
        <v>0.54260583516359817</v>
      </c>
    </row>
    <row r="42" spans="2:43" ht="30.95" customHeight="1" x14ac:dyDescent="0.25">
      <c r="B42" s="162" t="s">
        <v>547</v>
      </c>
      <c r="C42" s="162" t="s">
        <v>337</v>
      </c>
      <c r="D42" s="162" t="s">
        <v>213</v>
      </c>
      <c r="E42" s="162" t="s">
        <v>583</v>
      </c>
      <c r="F42" s="162" t="s">
        <v>581</v>
      </c>
      <c r="H42" s="122" t="s">
        <v>547</v>
      </c>
      <c r="I42" s="122" t="s">
        <v>337</v>
      </c>
      <c r="J42" s="162" t="s">
        <v>583</v>
      </c>
      <c r="K42" s="162" t="s">
        <v>581</v>
      </c>
      <c r="AE42" s="286" t="str">
        <f>$B$26</f>
        <v>Respiratory inorganics</v>
      </c>
      <c r="AF42" s="15">
        <f>D7</f>
        <v>0.30040002199999999</v>
      </c>
      <c r="AG42" s="15">
        <f>AN42*Calculations!$C$47</f>
        <v>0.28900229764322871</v>
      </c>
      <c r="AH42" s="15">
        <f>AO42*Calculations!$C$47</f>
        <v>0.2210095984413403</v>
      </c>
      <c r="AI42" s="15">
        <f>AP42*Calculations!$C$47</f>
        <v>0.21624715426153893</v>
      </c>
      <c r="AJ42" s="15">
        <f>AQ42*Calculations!$C$47</f>
        <v>0.20936599122812102</v>
      </c>
      <c r="AM42" s="286" t="str">
        <f>$B$26</f>
        <v>Respiratory inorganics</v>
      </c>
      <c r="AN42" s="15">
        <f>D26</f>
        <v>0.33162742421149999</v>
      </c>
      <c r="AO42" s="15">
        <f>D45</f>
        <v>0.25360643999999999</v>
      </c>
      <c r="AP42" s="15">
        <f>D64</f>
        <v>0.24814158</v>
      </c>
      <c r="AQ42" s="15">
        <f>D83</f>
        <v>0.24024551</v>
      </c>
    </row>
    <row r="43" spans="2:43" ht="18" x14ac:dyDescent="0.25">
      <c r="B43" s="123" t="s">
        <v>550</v>
      </c>
      <c r="C43" s="11" t="s">
        <v>551</v>
      </c>
      <c r="D43" s="15">
        <f>SUM(E43:F43)</f>
        <v>4.2409457799999997</v>
      </c>
      <c r="E43" s="178">
        <f>D62</f>
        <v>4.1761891899999997</v>
      </c>
      <c r="F43" s="178">
        <v>6.4756590000000003E-2</v>
      </c>
      <c r="H43" s="123" t="s">
        <v>550</v>
      </c>
      <c r="I43" s="11" t="s">
        <v>29</v>
      </c>
      <c r="J43" s="180">
        <f>E43/$D43</f>
        <v>0.98473062534649991</v>
      </c>
      <c r="K43" s="180">
        <f>F43/$D43</f>
        <v>1.5269374653500051E-2</v>
      </c>
      <c r="AE43" s="286"/>
      <c r="AF43" s="15">
        <f>AF42-AG42</f>
        <v>1.1397724356771277E-2</v>
      </c>
      <c r="AG43" s="15">
        <f>AG42-AH42</f>
        <v>6.7992699201888412E-2</v>
      </c>
      <c r="AH43" s="15">
        <f t="shared" ref="AH43:AJ43" si="27">AH42-AI42</f>
        <v>4.7624441798013728E-3</v>
      </c>
      <c r="AI43" s="15">
        <f t="shared" si="27"/>
        <v>6.881163033417903E-3</v>
      </c>
      <c r="AJ43" s="15">
        <f t="shared" si="27"/>
        <v>0.20936599122812102</v>
      </c>
      <c r="AM43" s="286"/>
      <c r="AN43" s="15">
        <f>AN42-AO42</f>
        <v>7.80209842115E-2</v>
      </c>
      <c r="AO43" s="15">
        <f t="shared" ref="AO43:AQ43" si="28">AO42-AP42</f>
        <v>5.4648599999999881E-3</v>
      </c>
      <c r="AP43" s="15">
        <f t="shared" si="28"/>
        <v>7.896070000000005E-3</v>
      </c>
      <c r="AQ43" s="15">
        <f t="shared" si="28"/>
        <v>0.24024551</v>
      </c>
    </row>
    <row r="44" spans="2:43" ht="30" x14ac:dyDescent="0.25">
      <c r="B44" s="123" t="s">
        <v>552</v>
      </c>
      <c r="C44" s="11" t="s">
        <v>551</v>
      </c>
      <c r="D44" s="15">
        <f t="shared" ref="D44:D57" si="29">SUM(E44:F44)</f>
        <v>4.845089520000001</v>
      </c>
      <c r="E44" s="178">
        <f t="shared" ref="E44:E57" si="30">D63</f>
        <v>4.820651380000001</v>
      </c>
      <c r="F44" s="178">
        <v>2.4438140000000001E-2</v>
      </c>
      <c r="H44" s="123" t="s">
        <v>552</v>
      </c>
      <c r="I44" s="11" t="s">
        <v>29</v>
      </c>
      <c r="J44" s="180">
        <f t="shared" ref="J44:K57" si="31">E44/$D44</f>
        <v>0.99495610145093871</v>
      </c>
      <c r="K44" s="180">
        <f t="shared" si="31"/>
        <v>5.0438985490612763E-3</v>
      </c>
      <c r="AE44" s="123" t="s">
        <v>597</v>
      </c>
      <c r="AF44" s="174">
        <f>AF43/$AF42</f>
        <v>3.7941822643312847E-2</v>
      </c>
      <c r="AG44" s="174">
        <f t="shared" ref="AG44:AJ44" si="32">AG43/$AF42</f>
        <v>0.22634052670571514</v>
      </c>
      <c r="AH44" s="174">
        <f t="shared" si="32"/>
        <v>1.5853674537351974E-2</v>
      </c>
      <c r="AI44" s="174">
        <f t="shared" si="32"/>
        <v>2.2906666209957547E-2</v>
      </c>
      <c r="AJ44" s="174">
        <f t="shared" si="32"/>
        <v>0.69695730990366245</v>
      </c>
      <c r="AM44" s="173" t="s">
        <v>597</v>
      </c>
      <c r="AN44" s="174">
        <f>AN43/$AN$42</f>
        <v>0.23526698492143108</v>
      </c>
      <c r="AO44" s="174">
        <f t="shared" ref="AO44:AQ44" si="33">AO43/$AN$42</f>
        <v>1.6478914592162011E-2</v>
      </c>
      <c r="AP44" s="174">
        <f t="shared" si="33"/>
        <v>2.3810063413103547E-2</v>
      </c>
      <c r="AQ44" s="174">
        <f t="shared" si="33"/>
        <v>0.7244440370733034</v>
      </c>
    </row>
    <row r="45" spans="2:43" x14ac:dyDescent="0.25">
      <c r="B45" s="123" t="s">
        <v>553</v>
      </c>
      <c r="C45" s="11" t="s">
        <v>554</v>
      </c>
      <c r="D45" s="15">
        <f t="shared" si="29"/>
        <v>0.25360643999999999</v>
      </c>
      <c r="E45" s="178">
        <f t="shared" si="30"/>
        <v>0.24814158</v>
      </c>
      <c r="F45" s="178">
        <v>5.4648600000000002E-3</v>
      </c>
      <c r="H45" s="123" t="s">
        <v>553</v>
      </c>
      <c r="I45" s="11" t="s">
        <v>29</v>
      </c>
      <c r="J45" s="180">
        <f t="shared" si="31"/>
        <v>0.97845141471959474</v>
      </c>
      <c r="K45" s="180">
        <f t="shared" si="31"/>
        <v>2.1548585280405343E-2</v>
      </c>
      <c r="AE45" s="286" t="str">
        <f>$B$27</f>
        <v>Ionizing radiation</v>
      </c>
      <c r="AF45" s="15">
        <f>D8</f>
        <v>6222.0150000000003</v>
      </c>
      <c r="AG45" s="15">
        <f>AN45*Calculations!$C$47</f>
        <v>8428.6015997059149</v>
      </c>
      <c r="AH45" s="15">
        <f>AO45*Calculations!$C$47</f>
        <v>8029.0246833267511</v>
      </c>
      <c r="AI45" s="15">
        <f>AP45*Calculations!$C$47</f>
        <v>7858.9494674802345</v>
      </c>
      <c r="AJ45" s="15">
        <f>AQ45*Calculations!$C$47</f>
        <v>7122.6271503507587</v>
      </c>
      <c r="AM45" s="286" t="str">
        <f>$B$27</f>
        <v>Ionizing radiation</v>
      </c>
      <c r="AN45" s="15">
        <f>D27</f>
        <v>9671.7412318499992</v>
      </c>
      <c r="AO45" s="15">
        <f>D46</f>
        <v>9213.2304703999998</v>
      </c>
      <c r="AP45" s="15">
        <f>D65</f>
        <v>9018.0707564000004</v>
      </c>
      <c r="AQ45" s="15">
        <f>D84</f>
        <v>8173.1478079999997</v>
      </c>
    </row>
    <row r="46" spans="2:43" x14ac:dyDescent="0.25">
      <c r="B46" s="123" t="s">
        <v>555</v>
      </c>
      <c r="C46" s="11" t="s">
        <v>556</v>
      </c>
      <c r="D46" s="15">
        <f t="shared" si="29"/>
        <v>9213.2304703999998</v>
      </c>
      <c r="E46" s="178">
        <f t="shared" si="30"/>
        <v>9018.0707564000004</v>
      </c>
      <c r="F46" s="178">
        <v>195.15971400000001</v>
      </c>
      <c r="H46" s="123" t="s">
        <v>555</v>
      </c>
      <c r="I46" s="11" t="s">
        <v>29</v>
      </c>
      <c r="J46" s="180">
        <f t="shared" si="31"/>
        <v>0.97881745011947729</v>
      </c>
      <c r="K46" s="180">
        <f t="shared" si="31"/>
        <v>2.1182549880522743E-2</v>
      </c>
      <c r="AE46" s="286"/>
      <c r="AF46" s="15">
        <f>AF45-AG45</f>
        <v>-2206.5865997059145</v>
      </c>
      <c r="AG46" s="15">
        <f>AG45-AH45</f>
        <v>399.57691637916378</v>
      </c>
      <c r="AH46" s="15">
        <f t="shared" ref="AH46:AJ46" si="34">AH45-AI45</f>
        <v>170.07521584651658</v>
      </c>
      <c r="AI46" s="15">
        <f t="shared" si="34"/>
        <v>736.32231712947578</v>
      </c>
      <c r="AJ46" s="15">
        <f t="shared" si="34"/>
        <v>7122.6271503507587</v>
      </c>
      <c r="AM46" s="286"/>
      <c r="AN46" s="15">
        <f>AN45-AO45</f>
        <v>458.51076144999934</v>
      </c>
      <c r="AO46" s="15">
        <f t="shared" ref="AO46:AQ46" si="35">AO45-AP45</f>
        <v>195.15971399999944</v>
      </c>
      <c r="AP46" s="15">
        <f t="shared" si="35"/>
        <v>844.92294840000068</v>
      </c>
      <c r="AQ46" s="15">
        <f t="shared" si="35"/>
        <v>8173.1478079999997</v>
      </c>
    </row>
    <row r="47" spans="2:43" ht="30" x14ac:dyDescent="0.25">
      <c r="B47" s="123" t="s">
        <v>557</v>
      </c>
      <c r="C47" s="11" t="s">
        <v>558</v>
      </c>
      <c r="D47" s="15">
        <f t="shared" si="29"/>
        <v>4.8508525999999996E-5</v>
      </c>
      <c r="E47" s="178">
        <f t="shared" si="30"/>
        <v>4.7929685999999998E-5</v>
      </c>
      <c r="F47" s="178">
        <v>5.7884000000000001E-7</v>
      </c>
      <c r="H47" s="123" t="s">
        <v>557</v>
      </c>
      <c r="I47" s="11" t="s">
        <v>29</v>
      </c>
      <c r="J47" s="180">
        <f t="shared" si="31"/>
        <v>0.98806725234240267</v>
      </c>
      <c r="K47" s="180">
        <f t="shared" si="31"/>
        <v>1.1932747657597349E-2</v>
      </c>
      <c r="AE47" s="123" t="s">
        <v>597</v>
      </c>
      <c r="AF47" s="174">
        <f>AF46/$AF45</f>
        <v>-0.35464180007697094</v>
      </c>
      <c r="AG47" s="174">
        <f t="shared" ref="AG47:AJ47" si="36">AG46/$AF45</f>
        <v>6.4219857454404033E-2</v>
      </c>
      <c r="AH47" s="174">
        <f t="shared" si="36"/>
        <v>2.7334427166523477E-2</v>
      </c>
      <c r="AI47" s="174">
        <f t="shared" si="36"/>
        <v>0.11834145644609917</v>
      </c>
      <c r="AJ47" s="174">
        <f t="shared" si="36"/>
        <v>1.1447460590099443</v>
      </c>
      <c r="AM47" s="173" t="s">
        <v>597</v>
      </c>
      <c r="AN47" s="174">
        <f>AN46/$AN45</f>
        <v>4.7407261056579775E-2</v>
      </c>
      <c r="AO47" s="174">
        <f t="shared" ref="AO47:AQ47" si="37">AO46/$AN45</f>
        <v>2.0178343208492721E-2</v>
      </c>
      <c r="AP47" s="174">
        <f t="shared" si="37"/>
        <v>8.7359962197663635E-2</v>
      </c>
      <c r="AQ47" s="174">
        <f t="shared" si="37"/>
        <v>0.84505443353726384</v>
      </c>
    </row>
    <row r="48" spans="2:43" ht="18" x14ac:dyDescent="0.25">
      <c r="B48" s="123" t="s">
        <v>559</v>
      </c>
      <c r="C48" s="11" t="s">
        <v>560</v>
      </c>
      <c r="D48" s="15">
        <f t="shared" si="29"/>
        <v>0.10504872000000001</v>
      </c>
      <c r="E48" s="178">
        <f t="shared" si="30"/>
        <v>0.10454979000000002</v>
      </c>
      <c r="F48" s="178">
        <v>4.9892999999999997E-4</v>
      </c>
      <c r="H48" s="123" t="s">
        <v>559</v>
      </c>
      <c r="I48" s="11" t="s">
        <v>29</v>
      </c>
      <c r="J48" s="180">
        <f t="shared" si="31"/>
        <v>0.99525048948716377</v>
      </c>
      <c r="K48" s="180">
        <f t="shared" si="31"/>
        <v>4.7495105128363291E-3</v>
      </c>
      <c r="AE48" s="286" t="str">
        <f>$B$27</f>
        <v>Ionizing radiation</v>
      </c>
      <c r="AF48" s="15">
        <f>D9</f>
        <v>4.9950000000054401E-5</v>
      </c>
      <c r="AG48" s="15">
        <f>AN48*Calculations!$C$47</f>
        <v>4.6559370951952863E-5</v>
      </c>
      <c r="AH48" s="15">
        <f>AO48*Calculations!$C$47</f>
        <v>4.2273571019100758E-5</v>
      </c>
      <c r="AI48" s="15">
        <f>AP48*Calculations!$C$47</f>
        <v>4.1769131163544306E-5</v>
      </c>
      <c r="AJ48" s="15">
        <f>AQ48*Calculations!$C$47</f>
        <v>3.9679406011113521E-5</v>
      </c>
      <c r="AM48" s="286" t="str">
        <f>$B$28</f>
        <v>Ozone layer depletion</v>
      </c>
      <c r="AN48" s="15">
        <f>D28</f>
        <v>5.3426441200010397E-5</v>
      </c>
      <c r="AO48" s="15">
        <f>D47</f>
        <v>4.8508525999999996E-5</v>
      </c>
      <c r="AP48" s="15">
        <f>D66</f>
        <v>4.7929685999999998E-5</v>
      </c>
      <c r="AQ48" s="15">
        <f>D85</f>
        <v>4.5531745999999996E-5</v>
      </c>
    </row>
    <row r="49" spans="2:43" x14ac:dyDescent="0.25">
      <c r="B49" s="123" t="s">
        <v>561</v>
      </c>
      <c r="C49" s="11" t="s">
        <v>562</v>
      </c>
      <c r="D49" s="15">
        <f t="shared" si="29"/>
        <v>23908.265868000002</v>
      </c>
      <c r="E49" s="178">
        <f t="shared" si="30"/>
        <v>23681.54549</v>
      </c>
      <c r="F49" s="178">
        <v>226.72037800000001</v>
      </c>
      <c r="H49" s="123" t="s">
        <v>561</v>
      </c>
      <c r="I49" s="11" t="s">
        <v>29</v>
      </c>
      <c r="J49" s="180">
        <f t="shared" si="31"/>
        <v>0.990517071407364</v>
      </c>
      <c r="K49" s="180">
        <f t="shared" si="31"/>
        <v>9.4829285926359766E-3</v>
      </c>
      <c r="AE49" s="286"/>
      <c r="AF49" s="15">
        <f>AF48-AG48</f>
        <v>3.3906290481015378E-6</v>
      </c>
      <c r="AG49" s="15">
        <f>AG48-AH48</f>
        <v>4.2857999328521057E-6</v>
      </c>
      <c r="AH49" s="15">
        <f t="shared" ref="AH49:AJ49" si="38">AH48-AI48</f>
        <v>5.0443985555645156E-7</v>
      </c>
      <c r="AI49" s="15">
        <f t="shared" si="38"/>
        <v>2.0897251524307851E-6</v>
      </c>
      <c r="AJ49" s="15">
        <f t="shared" si="38"/>
        <v>3.9679406011113521E-5</v>
      </c>
      <c r="AM49" s="286"/>
      <c r="AN49" s="15">
        <f>AN48-AO48</f>
        <v>4.9179152000104016E-6</v>
      </c>
      <c r="AO49" s="15">
        <f t="shared" ref="AO49:AQ49" si="39">AO48-AP48</f>
        <v>5.78839999999998E-7</v>
      </c>
      <c r="AP49" s="15">
        <f t="shared" si="39"/>
        <v>2.3979400000000023E-6</v>
      </c>
      <c r="AQ49" s="15">
        <f t="shared" si="39"/>
        <v>4.5531745999999996E-5</v>
      </c>
    </row>
    <row r="50" spans="2:43" ht="30" x14ac:dyDescent="0.25">
      <c r="B50" s="123" t="s">
        <v>563</v>
      </c>
      <c r="C50" s="11" t="s">
        <v>564</v>
      </c>
      <c r="D50" s="15">
        <f t="shared" si="29"/>
        <v>13804.660994350001</v>
      </c>
      <c r="E50" s="178">
        <f t="shared" si="30"/>
        <v>13750.470992050001</v>
      </c>
      <c r="F50" s="178">
        <v>54.190002300000003</v>
      </c>
      <c r="H50" s="123" t="s">
        <v>563</v>
      </c>
      <c r="I50" s="11" t="s">
        <v>29</v>
      </c>
      <c r="J50" s="180">
        <f t="shared" si="31"/>
        <v>0.996074514084614</v>
      </c>
      <c r="K50" s="180">
        <f t="shared" si="31"/>
        <v>3.9254859153860424E-3</v>
      </c>
      <c r="AE50" s="123" t="s">
        <v>597</v>
      </c>
      <c r="AF50" s="174">
        <f>AF49/$AF48</f>
        <v>6.7880461423380278E-2</v>
      </c>
      <c r="AG50" s="174">
        <f t="shared" ref="AG50:AJ50" si="40">AG49/$AF48</f>
        <v>8.5801800457406166E-2</v>
      </c>
      <c r="AH50" s="174">
        <f t="shared" si="40"/>
        <v>1.0098896007125168E-2</v>
      </c>
      <c r="AI50" s="174">
        <f t="shared" si="40"/>
        <v>4.1836339387958145E-2</v>
      </c>
      <c r="AJ50" s="174">
        <f t="shared" si="40"/>
        <v>0.79438250272413025</v>
      </c>
      <c r="AM50" s="173" t="s">
        <v>597</v>
      </c>
      <c r="AN50" s="174">
        <f>AN49/$AN48</f>
        <v>9.205021127271798E-2</v>
      </c>
      <c r="AO50" s="174">
        <f t="shared" ref="AO50:AQ50" si="41">AO49/$AN48</f>
        <v>1.0834335714651444E-2</v>
      </c>
      <c r="AP50" s="174">
        <f t="shared" si="41"/>
        <v>4.4883019458902974E-2</v>
      </c>
      <c r="AQ50" s="174">
        <f t="shared" si="41"/>
        <v>0.85223243355372758</v>
      </c>
    </row>
    <row r="51" spans="2:43" ht="18" x14ac:dyDescent="0.25">
      <c r="B51" s="123" t="s">
        <v>565</v>
      </c>
      <c r="C51" s="11" t="s">
        <v>566</v>
      </c>
      <c r="D51" s="15">
        <f t="shared" si="29"/>
        <v>3.8208393000000003</v>
      </c>
      <c r="E51" s="178">
        <f t="shared" si="30"/>
        <v>3.7356405800000001</v>
      </c>
      <c r="F51" s="178">
        <v>8.5198720000000006E-2</v>
      </c>
      <c r="H51" s="123" t="s">
        <v>565</v>
      </c>
      <c r="I51" s="11" t="s">
        <v>29</v>
      </c>
      <c r="J51" s="180">
        <f t="shared" si="31"/>
        <v>0.97770156939078801</v>
      </c>
      <c r="K51" s="180">
        <f t="shared" si="31"/>
        <v>2.229843060921196E-2</v>
      </c>
      <c r="AE51" s="286" t="str">
        <f>$B$29</f>
        <v>Respiratory organics</v>
      </c>
      <c r="AF51" s="15">
        <f>D10</f>
        <v>0.112330387</v>
      </c>
      <c r="AG51" s="15">
        <f>AN51*Calculations!$C$47</f>
        <v>0.10390942853253171</v>
      </c>
      <c r="AH51" s="15">
        <f>AO51*Calculations!$C$47</f>
        <v>9.1546474229821595E-2</v>
      </c>
      <c r="AI51" s="15">
        <f>AP51*Calculations!$C$47</f>
        <v>9.111167328805396E-2</v>
      </c>
      <c r="AJ51" s="15">
        <f>AQ51*Calculations!$C$47</f>
        <v>8.9748690462940206E-2</v>
      </c>
      <c r="AM51" s="286" t="str">
        <f>$B$29</f>
        <v>Respiratory organics</v>
      </c>
      <c r="AN51" s="15">
        <f>D29</f>
        <v>0.11923509403400001</v>
      </c>
      <c r="AO51" s="15">
        <f>D48</f>
        <v>0.10504872000000001</v>
      </c>
      <c r="AP51" s="15">
        <f>D67</f>
        <v>0.10454979000000002</v>
      </c>
      <c r="AQ51" s="15">
        <f>D86</f>
        <v>0.10298578000000001</v>
      </c>
    </row>
    <row r="52" spans="2:43" x14ac:dyDescent="0.25">
      <c r="B52" s="123" t="s">
        <v>567</v>
      </c>
      <c r="C52" s="11" t="s">
        <v>568</v>
      </c>
      <c r="D52" s="15">
        <f t="shared" si="29"/>
        <v>8.7997214100000001</v>
      </c>
      <c r="E52" s="178">
        <f t="shared" si="30"/>
        <v>8.7402622500000007</v>
      </c>
      <c r="F52" s="178">
        <v>5.9459159999999997E-2</v>
      </c>
      <c r="H52" s="123" t="s">
        <v>567</v>
      </c>
      <c r="I52" s="11" t="s">
        <v>29</v>
      </c>
      <c r="J52" s="180">
        <f t="shared" si="31"/>
        <v>0.99324306336193435</v>
      </c>
      <c r="K52" s="180">
        <f t="shared" si="31"/>
        <v>6.7569366380656809E-3</v>
      </c>
      <c r="AE52" s="286"/>
      <c r="AF52" s="15">
        <f>AF51-AG51</f>
        <v>8.4209584674682925E-3</v>
      </c>
      <c r="AG52" s="15">
        <f>AG51-AH51</f>
        <v>1.2362954302710116E-2</v>
      </c>
      <c r="AH52" s="15">
        <f t="shared" ref="AH52:AJ52" si="42">AH51-AI51</f>
        <v>4.3480094176763517E-4</v>
      </c>
      <c r="AI52" s="15">
        <f t="shared" si="42"/>
        <v>1.3629828251137538E-3</v>
      </c>
      <c r="AJ52" s="15">
        <f t="shared" si="42"/>
        <v>8.9748690462940206E-2</v>
      </c>
      <c r="AM52" s="286"/>
      <c r="AN52" s="15">
        <f>AN51-AO51</f>
        <v>1.4186374033999999E-2</v>
      </c>
      <c r="AO52" s="15">
        <f t="shared" ref="AO52:AQ52" si="43">AO51-AP51</f>
        <v>4.9892999999999466E-4</v>
      </c>
      <c r="AP52" s="15">
        <f t="shared" si="43"/>
        <v>1.5640100000000046E-3</v>
      </c>
      <c r="AQ52" s="15">
        <f t="shared" si="43"/>
        <v>0.10298578000000001</v>
      </c>
    </row>
    <row r="53" spans="2:43" ht="30" x14ac:dyDescent="0.25">
      <c r="B53" s="123" t="s">
        <v>569</v>
      </c>
      <c r="C53" s="11" t="s">
        <v>566</v>
      </c>
      <c r="D53" s="15">
        <f t="shared" si="29"/>
        <v>1.22028998</v>
      </c>
      <c r="E53" s="178">
        <f t="shared" si="30"/>
        <v>1.1910794099999999</v>
      </c>
      <c r="F53" s="178">
        <v>2.9210570000000002E-2</v>
      </c>
      <c r="H53" s="123" t="s">
        <v>569</v>
      </c>
      <c r="I53" s="11" t="s">
        <v>29</v>
      </c>
      <c r="J53" s="180">
        <f t="shared" si="31"/>
        <v>0.97606259948147733</v>
      </c>
      <c r="K53" s="180">
        <f t="shared" si="31"/>
        <v>2.3937400518522656E-2</v>
      </c>
      <c r="AE53" s="123" t="s">
        <v>597</v>
      </c>
      <c r="AF53" s="174">
        <f>AF52/$AF51</f>
        <v>7.4965988210013837E-2</v>
      </c>
      <c r="AG53" s="174">
        <f t="shared" ref="AG53:AJ53" si="44">AG52/$AF51</f>
        <v>0.11005885969849027</v>
      </c>
      <c r="AH53" s="174">
        <f t="shared" si="44"/>
        <v>3.8707330525589228E-3</v>
      </c>
      <c r="AI53" s="174">
        <f t="shared" si="44"/>
        <v>1.2133696513604585E-2</v>
      </c>
      <c r="AJ53" s="174">
        <f t="shared" si="44"/>
        <v>0.79897072252533241</v>
      </c>
      <c r="AM53" s="173" t="s">
        <v>597</v>
      </c>
      <c r="AN53" s="174">
        <f>AN52/$AN51</f>
        <v>0.11897817625702328</v>
      </c>
      <c r="AO53" s="174">
        <f t="shared" ref="AO53:AQ53" si="45">AO52/$AN51</f>
        <v>4.1844224139054587E-3</v>
      </c>
      <c r="AP53" s="174">
        <f t="shared" si="45"/>
        <v>1.3117027437861755E-2</v>
      </c>
      <c r="AQ53" s="174">
        <f t="shared" si="45"/>
        <v>0.86372037389120948</v>
      </c>
    </row>
    <row r="54" spans="2:43" ht="18" x14ac:dyDescent="0.25">
      <c r="B54" s="123" t="s">
        <v>570</v>
      </c>
      <c r="C54" s="11" t="s">
        <v>571</v>
      </c>
      <c r="D54" s="15">
        <f t="shared" si="29"/>
        <v>5.7655006299999985E-2</v>
      </c>
      <c r="E54" s="178">
        <f t="shared" si="30"/>
        <v>5.7103986299999986E-2</v>
      </c>
      <c r="F54" s="178">
        <v>5.5102000000000005E-4</v>
      </c>
      <c r="H54" s="123" t="s">
        <v>570</v>
      </c>
      <c r="I54" s="11" t="s">
        <v>29</v>
      </c>
      <c r="J54" s="180">
        <f t="shared" si="31"/>
        <v>0.99044280739242585</v>
      </c>
      <c r="K54" s="180">
        <f t="shared" si="31"/>
        <v>9.5571926075741359E-3</v>
      </c>
      <c r="AE54" s="286" t="str">
        <f>$B$30</f>
        <v>Aquatic ecotoxicity</v>
      </c>
      <c r="AF54" s="15">
        <f>D11</f>
        <v>26200.698</v>
      </c>
      <c r="AG54" s="15">
        <f>AN54*Calculations!$C$47</f>
        <v>24592.614883028691</v>
      </c>
      <c r="AH54" s="15">
        <f>AO54*Calculations!$C$47</f>
        <v>20835.260488319946</v>
      </c>
      <c r="AI54" s="15">
        <f>AP54*Calculations!$C$47</f>
        <v>20637.681200900235</v>
      </c>
      <c r="AJ54" s="15">
        <f>AQ54*Calculations!$C$47</f>
        <v>19927.673901958799</v>
      </c>
      <c r="AM54" s="286" t="str">
        <f>$B$30</f>
        <v>Aquatic ecotoxicity</v>
      </c>
      <c r="AN54" s="15">
        <f>D30</f>
        <v>28219.7947725392</v>
      </c>
      <c r="AO54" s="15">
        <f>D49</f>
        <v>23908.265868000002</v>
      </c>
      <c r="AP54" s="15">
        <f>D68</f>
        <v>23681.54549</v>
      </c>
      <c r="AQ54" s="15">
        <f>D87</f>
        <v>22866.818778000001</v>
      </c>
    </row>
    <row r="55" spans="2:43" ht="18" x14ac:dyDescent="0.25">
      <c r="B55" s="171" t="s">
        <v>572</v>
      </c>
      <c r="C55" s="161" t="s">
        <v>573</v>
      </c>
      <c r="D55" s="185">
        <f t="shared" si="29"/>
        <v>322.68956395000004</v>
      </c>
      <c r="E55" s="186">
        <f t="shared" si="30"/>
        <v>318.42487923000004</v>
      </c>
      <c r="F55" s="186">
        <v>4.26468472</v>
      </c>
      <c r="H55" s="123" t="s">
        <v>572</v>
      </c>
      <c r="I55" s="11" t="s">
        <v>29</v>
      </c>
      <c r="J55" s="180">
        <f t="shared" si="31"/>
        <v>0.98678393974755008</v>
      </c>
      <c r="K55" s="180">
        <f t="shared" si="31"/>
        <v>1.3216060252449945E-2</v>
      </c>
      <c r="AE55" s="286"/>
      <c r="AF55" s="15">
        <f>AF54-AG54</f>
        <v>1608.0831169713092</v>
      </c>
      <c r="AG55" s="15">
        <f>AG54-AH54</f>
        <v>3757.3543947087455</v>
      </c>
      <c r="AH55" s="15">
        <f t="shared" ref="AH55:AJ55" si="46">AH54-AI54</f>
        <v>197.57928741971045</v>
      </c>
      <c r="AI55" s="15">
        <f t="shared" si="46"/>
        <v>710.0072989414366</v>
      </c>
      <c r="AJ55" s="15">
        <f t="shared" si="46"/>
        <v>19927.673901958799</v>
      </c>
      <c r="AM55" s="286"/>
      <c r="AN55" s="15">
        <f>AN54-AO54</f>
        <v>4311.5289045391983</v>
      </c>
      <c r="AO55" s="15">
        <f t="shared" ref="AO55:AQ55" si="47">AO54-AP54</f>
        <v>226.7203780000018</v>
      </c>
      <c r="AP55" s="15">
        <f t="shared" si="47"/>
        <v>814.72671199999968</v>
      </c>
      <c r="AQ55" s="15">
        <f t="shared" si="47"/>
        <v>22866.818778000001</v>
      </c>
    </row>
    <row r="56" spans="2:43" ht="30" x14ac:dyDescent="0.25">
      <c r="B56" s="123" t="s">
        <v>574</v>
      </c>
      <c r="C56" s="11" t="s">
        <v>575</v>
      </c>
      <c r="D56" s="15">
        <f t="shared" si="29"/>
        <v>5518.6655724999991</v>
      </c>
      <c r="E56" s="178">
        <f t="shared" si="30"/>
        <v>5431.816149799999</v>
      </c>
      <c r="F56" s="178">
        <v>86.849422700000005</v>
      </c>
      <c r="H56" s="123" t="s">
        <v>574</v>
      </c>
      <c r="I56" s="11" t="s">
        <v>29</v>
      </c>
      <c r="J56" s="180">
        <f t="shared" si="31"/>
        <v>0.98426260450845604</v>
      </c>
      <c r="K56" s="180">
        <f t="shared" si="31"/>
        <v>1.5737395491543897E-2</v>
      </c>
      <c r="AE56" s="123" t="s">
        <v>597</v>
      </c>
      <c r="AF56" s="174">
        <f>AF55/$AF54</f>
        <v>6.1375583084515885E-2</v>
      </c>
      <c r="AG56" s="174">
        <f t="shared" ref="AG56:AJ56" si="48">AG55/$AF54</f>
        <v>0.14340665255210933</v>
      </c>
      <c r="AH56" s="174">
        <f t="shared" si="48"/>
        <v>7.5409932750536051E-3</v>
      </c>
      <c r="AI56" s="174">
        <f t="shared" si="48"/>
        <v>2.70987932818216E-2</v>
      </c>
      <c r="AJ56" s="174">
        <f t="shared" si="48"/>
        <v>0.76057797780649961</v>
      </c>
      <c r="AM56" s="173" t="s">
        <v>597</v>
      </c>
      <c r="AN56" s="174">
        <f>AN55/$AN54</f>
        <v>0.15278385045998863</v>
      </c>
      <c r="AO56" s="174">
        <f t="shared" ref="AO56:AQ56" si="49">AO55/$AN54</f>
        <v>8.0340902486159948E-3</v>
      </c>
      <c r="AP56" s="174">
        <f t="shared" si="49"/>
        <v>2.8870752553906368E-2</v>
      </c>
      <c r="AQ56" s="174">
        <f t="shared" si="49"/>
        <v>0.81031130673748897</v>
      </c>
    </row>
    <row r="57" spans="2:43" x14ac:dyDescent="0.25">
      <c r="B57" s="123" t="s">
        <v>576</v>
      </c>
      <c r="C57" s="11" t="s">
        <v>577</v>
      </c>
      <c r="D57" s="15">
        <f t="shared" si="29"/>
        <v>12.492918679999999</v>
      </c>
      <c r="E57" s="178">
        <f t="shared" si="30"/>
        <v>12.44446696</v>
      </c>
      <c r="F57" s="178">
        <v>4.8451719999999997E-2</v>
      </c>
      <c r="H57" s="123" t="s">
        <v>576</v>
      </c>
      <c r="I57" s="11" t="s">
        <v>29</v>
      </c>
      <c r="J57" s="180">
        <f t="shared" si="31"/>
        <v>0.99612166530167479</v>
      </c>
      <c r="K57" s="180">
        <f t="shared" si="31"/>
        <v>3.8783346983252759E-3</v>
      </c>
      <c r="AE57" s="286" t="str">
        <f>$B$31</f>
        <v>Terrestrial ecotoxicity</v>
      </c>
      <c r="AF57" s="15">
        <f>D12</f>
        <v>14390.000147000001</v>
      </c>
      <c r="AG57" s="15">
        <f>AN57*Calculations!$C$47</f>
        <v>13229.025809207169</v>
      </c>
      <c r="AH57" s="15">
        <f>AO57*Calculations!$C$47</f>
        <v>12030.304052925971</v>
      </c>
      <c r="AI57" s="15">
        <f>AP57*Calculations!$C$47</f>
        <v>11983.079263808399</v>
      </c>
      <c r="AJ57" s="15">
        <f>AQ57*Calculations!$C$47</f>
        <v>11815.068900928316</v>
      </c>
      <c r="AM57" s="286" t="str">
        <f>$B$31</f>
        <v>Terrestrial ecotoxicity</v>
      </c>
      <c r="AN57" s="15">
        <f>D31</f>
        <v>15180.182959481801</v>
      </c>
      <c r="AO57" s="15">
        <f>D50</f>
        <v>13804.660994350001</v>
      </c>
      <c r="AP57" s="15">
        <f>D69</f>
        <v>13750.470992050001</v>
      </c>
      <c r="AQ57" s="15">
        <f>D88</f>
        <v>13557.68067745</v>
      </c>
    </row>
    <row r="58" spans="2:43" x14ac:dyDescent="0.25">
      <c r="AE58" s="286"/>
      <c r="AF58" s="15">
        <f>AF57-AG57</f>
        <v>1160.9743377928316</v>
      </c>
      <c r="AG58" s="15">
        <f>AG57-AH57</f>
        <v>1198.7217562811984</v>
      </c>
      <c r="AH58" s="15">
        <f t="shared" ref="AH58:AJ58" si="50">AH57-AI57</f>
        <v>47.224789117572072</v>
      </c>
      <c r="AI58" s="15">
        <f t="shared" si="50"/>
        <v>168.01036288008254</v>
      </c>
      <c r="AJ58" s="15">
        <f t="shared" si="50"/>
        <v>11815.068900928316</v>
      </c>
      <c r="AM58" s="286"/>
      <c r="AN58" s="15">
        <f>AN57-AO57</f>
        <v>1375.5219651318002</v>
      </c>
      <c r="AO58" s="15">
        <f t="shared" ref="AO58:AQ58" si="51">AO57-AP57</f>
        <v>54.190002299999833</v>
      </c>
      <c r="AP58" s="15">
        <f t="shared" si="51"/>
        <v>192.79031460000078</v>
      </c>
      <c r="AQ58" s="15">
        <f t="shared" si="51"/>
        <v>13557.68067745</v>
      </c>
    </row>
    <row r="59" spans="2:43" ht="30" x14ac:dyDescent="0.25">
      <c r="B59" s="282" t="s">
        <v>619</v>
      </c>
      <c r="C59" s="282"/>
      <c r="D59" s="282"/>
      <c r="E59" s="282"/>
      <c r="F59" s="282"/>
      <c r="G59" s="282"/>
      <c r="H59" s="282"/>
      <c r="I59" s="282"/>
      <c r="J59" s="282"/>
      <c r="K59" s="282"/>
      <c r="L59" s="282"/>
      <c r="M59" s="282"/>
      <c r="AE59" s="123" t="s">
        <v>597</v>
      </c>
      <c r="AF59" s="174">
        <f>AF58/$AF57</f>
        <v>8.0679244331687466E-2</v>
      </c>
      <c r="AG59" s="174">
        <f t="shared" ref="AG59:AJ59" si="52">AG58/$AF57</f>
        <v>8.3302414456966192E-2</v>
      </c>
      <c r="AH59" s="174">
        <f t="shared" si="52"/>
        <v>3.2817782234295114E-3</v>
      </c>
      <c r="AI59" s="174">
        <f t="shared" si="52"/>
        <v>1.167549417399478E-2</v>
      </c>
      <c r="AJ59" s="174">
        <f t="shared" si="52"/>
        <v>0.82106106881392205</v>
      </c>
      <c r="AM59" s="173" t="s">
        <v>597</v>
      </c>
      <c r="AN59" s="174">
        <f>AN58/$AN57</f>
        <v>9.0613003071390905E-2</v>
      </c>
      <c r="AO59" s="174">
        <f t="shared" ref="AO59:AQ59" si="53">AO58/$AN57</f>
        <v>3.5697858480784536E-3</v>
      </c>
      <c r="AP59" s="174">
        <f t="shared" si="53"/>
        <v>1.2700131158800077E-2</v>
      </c>
      <c r="AQ59" s="174">
        <f t="shared" si="53"/>
        <v>0.89311707992173062</v>
      </c>
    </row>
    <row r="60" spans="2:43" x14ac:dyDescent="0.25">
      <c r="AE60" s="286" t="str">
        <f>$B$32</f>
        <v>Terrestrial acid/nutri</v>
      </c>
      <c r="AF60" s="15">
        <f>D13</f>
        <v>4.5300009500000007</v>
      </c>
      <c r="AG60" s="15">
        <f>AN60*Calculations!$C$47</f>
        <v>4.3662055069515766</v>
      </c>
      <c r="AH60" s="15">
        <f>AO60*Calculations!$C$47</f>
        <v>3.3297346841897699</v>
      </c>
      <c r="AI60" s="15">
        <f>AP60*Calculations!$C$47</f>
        <v>3.2554868263872776</v>
      </c>
      <c r="AJ60" s="15">
        <f>AQ60*Calculations!$C$47</f>
        <v>3.0043367984270799</v>
      </c>
      <c r="AM60" s="286" t="str">
        <f>$B$32</f>
        <v>Terrestrial acid/nutri</v>
      </c>
      <c r="AN60" s="15">
        <f>D32</f>
        <v>5.0101798416700003</v>
      </c>
      <c r="AO60" s="15">
        <f>D51</f>
        <v>3.8208393000000003</v>
      </c>
      <c r="AP60" s="15">
        <f>D70</f>
        <v>3.7356405800000001</v>
      </c>
      <c r="AQ60" s="15">
        <f>D89</f>
        <v>3.4474482800000001</v>
      </c>
    </row>
    <row r="61" spans="2:43" ht="30.95" customHeight="1" x14ac:dyDescent="0.25">
      <c r="B61" s="162" t="s">
        <v>547</v>
      </c>
      <c r="C61" s="162" t="s">
        <v>337</v>
      </c>
      <c r="D61" s="162" t="s">
        <v>595</v>
      </c>
      <c r="E61" s="162" t="s">
        <v>584</v>
      </c>
      <c r="F61" s="162" t="s">
        <v>581</v>
      </c>
      <c r="G61" s="162" t="s">
        <v>335</v>
      </c>
      <c r="I61" s="122" t="s">
        <v>547</v>
      </c>
      <c r="J61" s="122" t="s">
        <v>337</v>
      </c>
      <c r="K61" s="162" t="s">
        <v>584</v>
      </c>
      <c r="L61" s="162" t="s">
        <v>581</v>
      </c>
      <c r="M61" s="162" t="s">
        <v>335</v>
      </c>
      <c r="AE61" s="286"/>
      <c r="AF61" s="15">
        <f>AF60-AG60</f>
        <v>0.16379544304842408</v>
      </c>
      <c r="AG61" s="15">
        <f>AG60-AH60</f>
        <v>1.0364708227618067</v>
      </c>
      <c r="AH61" s="15">
        <f t="shared" ref="AH61:AJ61" si="54">AH60-AI60</f>
        <v>7.4247857802492323E-2</v>
      </c>
      <c r="AI61" s="15">
        <f t="shared" si="54"/>
        <v>0.2511500279601977</v>
      </c>
      <c r="AJ61" s="15">
        <f t="shared" si="54"/>
        <v>3.0043367984270799</v>
      </c>
      <c r="AM61" s="286"/>
      <c r="AN61" s="15">
        <f>AN60-AO60</f>
        <v>1.18934054167</v>
      </c>
      <c r="AO61" s="15">
        <f t="shared" ref="AO61:AQ61" si="55">AO60-AP60</f>
        <v>8.5198720000000172E-2</v>
      </c>
      <c r="AP61" s="15">
        <f t="shared" si="55"/>
        <v>0.28819229999999996</v>
      </c>
      <c r="AQ61" s="15">
        <f t="shared" si="55"/>
        <v>3.4474482800000001</v>
      </c>
    </row>
    <row r="62" spans="2:43" ht="30" x14ac:dyDescent="0.25">
      <c r="B62" s="123" t="s">
        <v>550</v>
      </c>
      <c r="C62" s="11" t="s">
        <v>551</v>
      </c>
      <c r="D62" s="15">
        <f>SUM(E62:G62)</f>
        <v>4.1761891899999997</v>
      </c>
      <c r="E62" s="178">
        <f>D81</f>
        <v>4.0184170100000003</v>
      </c>
      <c r="F62" s="178">
        <v>0.30571638000000001</v>
      </c>
      <c r="G62" s="178">
        <v>-0.1479442</v>
      </c>
      <c r="H62" s="179">
        <f>SUM(E62:F62)</f>
        <v>4.3241333900000001</v>
      </c>
      <c r="I62" s="123" t="s">
        <v>550</v>
      </c>
      <c r="J62" s="11" t="s">
        <v>29</v>
      </c>
      <c r="K62" s="180">
        <f>E62/$H62</f>
        <v>0.92929996546660654</v>
      </c>
      <c r="L62" s="180">
        <f t="shared" ref="L62:M76" si="56">F62/$H62</f>
        <v>7.0700034533393519E-2</v>
      </c>
      <c r="M62" s="180">
        <f t="shared" si="56"/>
        <v>-3.4213606902630728E-2</v>
      </c>
      <c r="AE62" s="123" t="s">
        <v>597</v>
      </c>
      <c r="AF62" s="174">
        <f>AF61/$AF60</f>
        <v>3.6157926864987533E-2</v>
      </c>
      <c r="AG62" s="174">
        <f t="shared" ref="AG62:AJ62" si="57">AG61/$AF60</f>
        <v>0.22880145814578837</v>
      </c>
      <c r="AH62" s="174">
        <f t="shared" si="57"/>
        <v>1.6390252148289795E-2</v>
      </c>
      <c r="AI62" s="174">
        <f t="shared" si="57"/>
        <v>5.5441495649178101E-2</v>
      </c>
      <c r="AJ62" s="174">
        <f t="shared" si="57"/>
        <v>0.6632088671917562</v>
      </c>
      <c r="AM62" s="173" t="s">
        <v>597</v>
      </c>
      <c r="AN62" s="174">
        <f>AN61/$AN60</f>
        <v>0.23738480039741794</v>
      </c>
      <c r="AO62" s="174">
        <f t="shared" ref="AO62:AQ62" si="58">AO61/$AN60</f>
        <v>1.7005122109868539E-2</v>
      </c>
      <c r="AP62" s="174">
        <f t="shared" si="58"/>
        <v>5.7521348356217743E-2</v>
      </c>
      <c r="AQ62" s="174">
        <f t="shared" si="58"/>
        <v>0.68808872913649577</v>
      </c>
    </row>
    <row r="63" spans="2:43" ht="18" x14ac:dyDescent="0.25">
      <c r="B63" s="123" t="s">
        <v>552</v>
      </c>
      <c r="C63" s="11" t="s">
        <v>551</v>
      </c>
      <c r="D63" s="15">
        <f t="shared" ref="D63:D76" si="59">SUM(E63:G63)</f>
        <v>4.820651380000001</v>
      </c>
      <c r="E63" s="178">
        <f t="shared" ref="E63:E76" si="60">D82</f>
        <v>4.7646794000000003</v>
      </c>
      <c r="F63" s="178">
        <v>0.11537264999999999</v>
      </c>
      <c r="G63" s="178">
        <v>-5.9400670000000003E-2</v>
      </c>
      <c r="H63" s="179">
        <f t="shared" ref="H63:H76" si="61">SUM(E63:F63)</f>
        <v>4.8800520500000006</v>
      </c>
      <c r="I63" s="123" t="s">
        <v>552</v>
      </c>
      <c r="J63" s="11" t="s">
        <v>29</v>
      </c>
      <c r="K63" s="180">
        <f t="shared" ref="K63:K76" si="62">E63/$H63</f>
        <v>0.97635831568640741</v>
      </c>
      <c r="L63" s="180">
        <f t="shared" si="56"/>
        <v>2.3641684313592513E-2</v>
      </c>
      <c r="M63" s="180">
        <f t="shared" si="56"/>
        <v>-1.2172138614792027E-2</v>
      </c>
      <c r="AE63" s="286" t="str">
        <f>$B$33</f>
        <v>Land occupation</v>
      </c>
      <c r="AF63" s="15">
        <f>D14</f>
        <v>14.362</v>
      </c>
      <c r="AG63" s="15">
        <f>AN63*Calculations!$C$47</f>
        <v>13.68238692937004</v>
      </c>
      <c r="AH63" s="15">
        <f>AO63*Calculations!$C$47</f>
        <v>7.668665256370323</v>
      </c>
      <c r="AI63" s="15">
        <f>AP63*Calculations!$C$47</f>
        <v>7.6168485711344935</v>
      </c>
      <c r="AJ63" s="15">
        <f>AQ63*Calculations!$C$47</f>
        <v>7.4441561260390623</v>
      </c>
      <c r="AM63" s="286" t="str">
        <f>$B$33</f>
        <v>Land occupation</v>
      </c>
      <c r="AN63" s="15">
        <f>D33</f>
        <v>15.700410590000002</v>
      </c>
      <c r="AO63" s="15">
        <f>D52</f>
        <v>8.7997214100000001</v>
      </c>
      <c r="AP63" s="15">
        <f>D71</f>
        <v>8.7402622500000007</v>
      </c>
      <c r="AQ63" s="15">
        <f>D90</f>
        <v>8.5420992899999995</v>
      </c>
    </row>
    <row r="64" spans="2:43" x14ac:dyDescent="0.25">
      <c r="B64" s="123" t="s">
        <v>553</v>
      </c>
      <c r="C64" s="11" t="s">
        <v>554</v>
      </c>
      <c r="D64" s="15">
        <f t="shared" si="59"/>
        <v>0.24814158</v>
      </c>
      <c r="E64" s="178">
        <f t="shared" si="60"/>
        <v>0.24024551</v>
      </c>
      <c r="F64" s="178">
        <v>2.5799659999999999E-2</v>
      </c>
      <c r="G64" s="178">
        <v>-1.790359E-2</v>
      </c>
      <c r="H64" s="179">
        <f t="shared" si="61"/>
        <v>0.26604517</v>
      </c>
      <c r="I64" s="123" t="s">
        <v>553</v>
      </c>
      <c r="J64" s="11" t="s">
        <v>29</v>
      </c>
      <c r="K64" s="180">
        <f t="shared" si="62"/>
        <v>0.90302526446918774</v>
      </c>
      <c r="L64" s="180">
        <f t="shared" si="56"/>
        <v>9.6974735530812303E-2</v>
      </c>
      <c r="M64" s="180">
        <f t="shared" si="56"/>
        <v>-6.7295301771499935E-2</v>
      </c>
      <c r="AE64" s="286"/>
      <c r="AF64" s="15">
        <f>AF63-AG63</f>
        <v>0.67961307062996035</v>
      </c>
      <c r="AG64" s="15">
        <f>AG63-AH63</f>
        <v>6.0137216729997167</v>
      </c>
      <c r="AH64" s="15">
        <f t="shared" ref="AH64:AJ64" si="63">AH63-AI63</f>
        <v>5.1816685235829496E-2</v>
      </c>
      <c r="AI64" s="15">
        <f t="shared" si="63"/>
        <v>0.17269244509543125</v>
      </c>
      <c r="AJ64" s="15">
        <f t="shared" si="63"/>
        <v>7.4441561260390623</v>
      </c>
      <c r="AM64" s="286"/>
      <c r="AN64" s="15">
        <f>AN63-AO63</f>
        <v>6.9006891800000023</v>
      </c>
      <c r="AO64" s="15">
        <f t="shared" ref="AO64:AQ64" si="64">AO63-AP63</f>
        <v>5.94591599999994E-2</v>
      </c>
      <c r="AP64" s="15">
        <f t="shared" si="64"/>
        <v>0.19816296000000122</v>
      </c>
      <c r="AQ64" s="15">
        <f t="shared" si="64"/>
        <v>8.5420992899999995</v>
      </c>
    </row>
    <row r="65" spans="2:43" ht="30" x14ac:dyDescent="0.25">
      <c r="B65" s="123" t="s">
        <v>555</v>
      </c>
      <c r="C65" s="11" t="s">
        <v>556</v>
      </c>
      <c r="D65" s="15">
        <f t="shared" si="59"/>
        <v>9018.0707564000004</v>
      </c>
      <c r="E65" s="178">
        <f t="shared" si="60"/>
        <v>8173.1478079999997</v>
      </c>
      <c r="F65" s="178">
        <v>921.35053300000004</v>
      </c>
      <c r="G65" s="178">
        <v>-76.427584600000003</v>
      </c>
      <c r="H65" s="179">
        <f t="shared" si="61"/>
        <v>9094.4983410000004</v>
      </c>
      <c r="I65" s="123" t="s">
        <v>555</v>
      </c>
      <c r="J65" s="11" t="s">
        <v>29</v>
      </c>
      <c r="K65" s="180">
        <f t="shared" si="62"/>
        <v>0.89869143976349419</v>
      </c>
      <c r="L65" s="180">
        <f t="shared" si="56"/>
        <v>0.10130856023650574</v>
      </c>
      <c r="M65" s="180">
        <f t="shared" si="56"/>
        <v>-8.403716371627408E-3</v>
      </c>
      <c r="AE65" s="123" t="s">
        <v>597</v>
      </c>
      <c r="AF65" s="174">
        <f>AF64/$AF63</f>
        <v>4.7320224942902125E-2</v>
      </c>
      <c r="AG65" s="174">
        <f t="shared" ref="AG65:AJ65" si="65">AG64/$AF63</f>
        <v>0.41872452812976724</v>
      </c>
      <c r="AH65" s="174">
        <f t="shared" si="65"/>
        <v>3.607901771050654E-3</v>
      </c>
      <c r="AI65" s="174">
        <f t="shared" si="65"/>
        <v>1.2024261599737589E-2</v>
      </c>
      <c r="AJ65" s="174">
        <f t="shared" si="65"/>
        <v>0.51832308355654244</v>
      </c>
      <c r="AM65" s="173" t="s">
        <v>597</v>
      </c>
      <c r="AN65" s="174">
        <f>AN64/$AN63</f>
        <v>0.43952284817285159</v>
      </c>
      <c r="AO65" s="174">
        <f t="shared" ref="AO65:AQ65" si="66">AO64/$AN63</f>
        <v>3.7871086019795226E-3</v>
      </c>
      <c r="AP65" s="174">
        <f t="shared" si="66"/>
        <v>1.2621514505245891E-2</v>
      </c>
      <c r="AQ65" s="174">
        <f t="shared" si="66"/>
        <v>0.54406852871992295</v>
      </c>
    </row>
    <row r="66" spans="2:43" x14ac:dyDescent="0.25">
      <c r="B66" s="123" t="s">
        <v>557</v>
      </c>
      <c r="C66" s="11" t="s">
        <v>558</v>
      </c>
      <c r="D66" s="15">
        <f t="shared" si="59"/>
        <v>4.7929685999999998E-5</v>
      </c>
      <c r="E66" s="178">
        <f t="shared" si="60"/>
        <v>4.5531745999999996E-5</v>
      </c>
      <c r="F66" s="178">
        <v>2.7327000000000001E-6</v>
      </c>
      <c r="G66" s="178">
        <v>-3.3476000000000001E-7</v>
      </c>
      <c r="H66" s="179">
        <f t="shared" si="61"/>
        <v>4.8264445999999997E-5</v>
      </c>
      <c r="I66" s="123" t="s">
        <v>557</v>
      </c>
      <c r="J66" s="11" t="s">
        <v>29</v>
      </c>
      <c r="K66" s="180">
        <f t="shared" si="62"/>
        <v>0.94338068233498418</v>
      </c>
      <c r="L66" s="180">
        <f t="shared" si="56"/>
        <v>5.6619317665015781E-2</v>
      </c>
      <c r="M66" s="180">
        <f t="shared" si="56"/>
        <v>-6.9359544705019519E-3</v>
      </c>
      <c r="AE66" s="286" t="str">
        <f>$B$34</f>
        <v>Aquatic acidification</v>
      </c>
      <c r="AF66" s="15">
        <f>D15</f>
        <v>1.49460339</v>
      </c>
      <c r="AG66" s="15">
        <f>AN66*Calculations!$C$47</f>
        <v>1.4491684522216259</v>
      </c>
      <c r="AH66" s="15">
        <f>AO66*Calculations!$C$47</f>
        <v>1.0634422314425107</v>
      </c>
      <c r="AI66" s="15">
        <f>AP66*Calculations!$C$47</f>
        <v>1.0379861888201598</v>
      </c>
      <c r="AJ66" s="15">
        <f>AQ66*Calculations!$C$47</f>
        <v>0.95119584063567619</v>
      </c>
      <c r="AM66" s="286" t="str">
        <f>$B$34</f>
        <v>Aquatic acidification</v>
      </c>
      <c r="AN66" s="15">
        <f>D34</f>
        <v>1.6629071982399999</v>
      </c>
      <c r="AO66" s="15">
        <f>D53</f>
        <v>1.22028998</v>
      </c>
      <c r="AP66" s="15">
        <f>D72</f>
        <v>1.1910794099999999</v>
      </c>
      <c r="AQ66" s="15">
        <f>D91</f>
        <v>1.0914883</v>
      </c>
    </row>
    <row r="67" spans="2:43" ht="18" x14ac:dyDescent="0.25">
      <c r="B67" s="123" t="s">
        <v>559</v>
      </c>
      <c r="C67" s="11" t="s">
        <v>560</v>
      </c>
      <c r="D67" s="15">
        <f t="shared" si="59"/>
        <v>0.10454979000000002</v>
      </c>
      <c r="E67" s="178">
        <f t="shared" si="60"/>
        <v>0.10298578000000001</v>
      </c>
      <c r="F67" s="178">
        <v>2.3554399999999999E-3</v>
      </c>
      <c r="G67" s="178">
        <v>-7.9142999999999998E-4</v>
      </c>
      <c r="H67" s="179">
        <f t="shared" si="61"/>
        <v>0.10534122000000001</v>
      </c>
      <c r="I67" s="123" t="s">
        <v>559</v>
      </c>
      <c r="J67" s="11" t="s">
        <v>29</v>
      </c>
      <c r="K67" s="180">
        <f t="shared" si="62"/>
        <v>0.97763990202505724</v>
      </c>
      <c r="L67" s="180">
        <f t="shared" si="56"/>
        <v>2.2360097974942757E-2</v>
      </c>
      <c r="M67" s="180">
        <f t="shared" si="56"/>
        <v>-7.5130134243746169E-3</v>
      </c>
      <c r="AE67" s="286"/>
      <c r="AF67" s="15">
        <f>AF66-AG66</f>
        <v>4.543493777837404E-2</v>
      </c>
      <c r="AG67" s="15">
        <f>AG66-AH66</f>
        <v>0.38572622077911523</v>
      </c>
      <c r="AH67" s="15">
        <f t="shared" ref="AH67:AJ67" si="67">AH66-AI66</f>
        <v>2.5456042622350905E-2</v>
      </c>
      <c r="AI67" s="15">
        <f t="shared" si="67"/>
        <v>8.6790348184483612E-2</v>
      </c>
      <c r="AJ67" s="15">
        <f t="shared" si="67"/>
        <v>0.95119584063567619</v>
      </c>
      <c r="AM67" s="286"/>
      <c r="AN67" s="15">
        <f>AN66-AO66</f>
        <v>0.44261721823999989</v>
      </c>
      <c r="AO67" s="15">
        <f t="shared" ref="AO67:AQ67" si="68">AO66-AP66</f>
        <v>2.9210570000000047E-2</v>
      </c>
      <c r="AP67" s="15">
        <f t="shared" si="68"/>
        <v>9.9591109999999983E-2</v>
      </c>
      <c r="AQ67" s="15">
        <f t="shared" si="68"/>
        <v>1.0914883</v>
      </c>
    </row>
    <row r="68" spans="2:43" ht="30" x14ac:dyDescent="0.25">
      <c r="B68" s="123" t="s">
        <v>561</v>
      </c>
      <c r="C68" s="11" t="s">
        <v>562</v>
      </c>
      <c r="D68" s="15">
        <f t="shared" si="59"/>
        <v>23681.54549</v>
      </c>
      <c r="E68" s="178">
        <f t="shared" si="60"/>
        <v>22866.818778000001</v>
      </c>
      <c r="F68" s="178">
        <v>1070.3486800000001</v>
      </c>
      <c r="G68" s="178">
        <v>-255.62196800000001</v>
      </c>
      <c r="H68" s="179">
        <f t="shared" si="61"/>
        <v>23937.167458</v>
      </c>
      <c r="I68" s="123" t="s">
        <v>561</v>
      </c>
      <c r="J68" s="11" t="s">
        <v>29</v>
      </c>
      <c r="K68" s="180">
        <f t="shared" si="62"/>
        <v>0.95528507364632742</v>
      </c>
      <c r="L68" s="180">
        <f t="shared" si="56"/>
        <v>4.471492635367267E-2</v>
      </c>
      <c r="M68" s="180">
        <f t="shared" si="56"/>
        <v>-1.0678872863654928E-2</v>
      </c>
      <c r="AE68" s="123" t="s">
        <v>597</v>
      </c>
      <c r="AF68" s="174">
        <f>AF67/$AF66</f>
        <v>3.0399327395058323E-2</v>
      </c>
      <c r="AG68" s="174">
        <f t="shared" ref="AG68:AJ68" si="69">AG67/$AF66</f>
        <v>0.25807931613156265</v>
      </c>
      <c r="AH68" s="174">
        <f t="shared" si="69"/>
        <v>1.7031971687385846E-2</v>
      </c>
      <c r="AI68" s="174">
        <f t="shared" si="69"/>
        <v>5.8069149826084375E-2</v>
      </c>
      <c r="AJ68" s="174">
        <f t="shared" si="69"/>
        <v>0.63642023495990885</v>
      </c>
      <c r="AM68" s="173" t="s">
        <v>597</v>
      </c>
      <c r="AN68" s="174">
        <f>AN67/$AN66</f>
        <v>0.26617072721103163</v>
      </c>
      <c r="AO68" s="174">
        <f t="shared" ref="AO68:AQ68" si="70">AO67/$AN66</f>
        <v>1.7565965214965784E-2</v>
      </c>
      <c r="AP68" s="174">
        <f t="shared" si="70"/>
        <v>5.9889758193004378E-2</v>
      </c>
      <c r="AQ68" s="174">
        <f t="shared" si="70"/>
        <v>0.65637354938099823</v>
      </c>
    </row>
    <row r="69" spans="2:43" x14ac:dyDescent="0.25">
      <c r="B69" s="123" t="s">
        <v>563</v>
      </c>
      <c r="C69" s="11" t="s">
        <v>564</v>
      </c>
      <c r="D69" s="15">
        <f t="shared" si="59"/>
        <v>13750.470992050001</v>
      </c>
      <c r="E69" s="178">
        <f t="shared" si="60"/>
        <v>13557.68067745</v>
      </c>
      <c r="F69" s="178">
        <v>255.831424</v>
      </c>
      <c r="G69" s="178">
        <v>-63.041109400000003</v>
      </c>
      <c r="H69" s="179">
        <f t="shared" si="61"/>
        <v>13813.51210145</v>
      </c>
      <c r="I69" s="123" t="s">
        <v>563</v>
      </c>
      <c r="J69" s="11" t="s">
        <v>29</v>
      </c>
      <c r="K69" s="180">
        <f t="shared" si="62"/>
        <v>0.98147962501345731</v>
      </c>
      <c r="L69" s="180">
        <f t="shared" si="56"/>
        <v>1.8520374986542739E-2</v>
      </c>
      <c r="M69" s="180">
        <f t="shared" si="56"/>
        <v>-4.5637278149836058E-3</v>
      </c>
      <c r="AE69" s="286" t="str">
        <f>$B$35</f>
        <v>Aquatic eutrophication</v>
      </c>
      <c r="AF69" s="15">
        <f>D16</f>
        <v>0.12822</v>
      </c>
      <c r="AG69" s="15">
        <f>AN69*Calculations!$C$47</f>
        <v>0.12583527667518238</v>
      </c>
      <c r="AH69" s="15">
        <f>AO69*Calculations!$C$47</f>
        <v>5.0244425143525305E-2</v>
      </c>
      <c r="AI69" s="15">
        <f>AP69*Calculations!$C$47</f>
        <v>4.9764229494971793E-2</v>
      </c>
      <c r="AJ69" s="15">
        <f>AQ69*Calculations!$C$47</f>
        <v>4.8689074732005073E-2</v>
      </c>
      <c r="AM69" s="286" t="str">
        <f>$B$35</f>
        <v>Aquatic eutrophication</v>
      </c>
      <c r="AN69" s="15">
        <f>D35</f>
        <v>0.14439479899999996</v>
      </c>
      <c r="AO69" s="15">
        <f>D54</f>
        <v>5.7655006299999985E-2</v>
      </c>
      <c r="AP69" s="15">
        <f>D73</f>
        <v>5.7103986299999986E-2</v>
      </c>
      <c r="AQ69" s="15">
        <f>D92</f>
        <v>5.587025629999999E-2</v>
      </c>
    </row>
    <row r="70" spans="2:43" ht="18" x14ac:dyDescent="0.25">
      <c r="B70" s="123" t="s">
        <v>565</v>
      </c>
      <c r="C70" s="11" t="s">
        <v>566</v>
      </c>
      <c r="D70" s="15">
        <f t="shared" si="59"/>
        <v>3.7356405800000001</v>
      </c>
      <c r="E70" s="178">
        <f t="shared" si="60"/>
        <v>3.4474482800000001</v>
      </c>
      <c r="F70" s="178">
        <v>0.40222381000000001</v>
      </c>
      <c r="G70" s="178">
        <v>-0.11403151</v>
      </c>
      <c r="H70" s="179">
        <f t="shared" si="61"/>
        <v>3.8496720900000003</v>
      </c>
      <c r="I70" s="123" t="s">
        <v>565</v>
      </c>
      <c r="J70" s="11" t="s">
        <v>29</v>
      </c>
      <c r="K70" s="180">
        <f t="shared" si="62"/>
        <v>0.89551738418323312</v>
      </c>
      <c r="L70" s="180">
        <f t="shared" si="56"/>
        <v>0.10448261581676688</v>
      </c>
      <c r="M70" s="180">
        <f t="shared" si="56"/>
        <v>-2.9621096897112602E-2</v>
      </c>
      <c r="AE70" s="286"/>
      <c r="AF70" s="15">
        <f>AF69-AG69</f>
        <v>2.3847233248176225E-3</v>
      </c>
      <c r="AG70" s="15">
        <f>AG69-AH69</f>
        <v>7.5590851531657066E-2</v>
      </c>
      <c r="AH70" s="15">
        <f t="shared" ref="AH70:AJ70" si="71">AH69-AI69</f>
        <v>4.8019564855351221E-4</v>
      </c>
      <c r="AI70" s="15">
        <f t="shared" si="71"/>
        <v>1.0751547629667194E-3</v>
      </c>
      <c r="AJ70" s="15">
        <f t="shared" si="71"/>
        <v>4.8689074732005073E-2</v>
      </c>
      <c r="AM70" s="286"/>
      <c r="AN70" s="15">
        <f>AN69-AO69</f>
        <v>8.6739792699999985E-2</v>
      </c>
      <c r="AO70" s="15">
        <f t="shared" ref="AO70:AQ70" si="72">AO69-AP69</f>
        <v>5.5101999999999929E-4</v>
      </c>
      <c r="AP70" s="15">
        <f t="shared" si="72"/>
        <v>1.2337299999999954E-3</v>
      </c>
      <c r="AQ70" s="15">
        <f t="shared" si="72"/>
        <v>5.587025629999999E-2</v>
      </c>
    </row>
    <row r="71" spans="2:43" ht="30" x14ac:dyDescent="0.25">
      <c r="B71" s="123" t="s">
        <v>567</v>
      </c>
      <c r="C71" s="11" t="s">
        <v>568</v>
      </c>
      <c r="D71" s="15">
        <f t="shared" si="59"/>
        <v>8.7402622500000007</v>
      </c>
      <c r="E71" s="178">
        <f t="shared" si="60"/>
        <v>8.5420992899999995</v>
      </c>
      <c r="F71" s="178">
        <v>0.28070714000000002</v>
      </c>
      <c r="G71" s="178">
        <v>-8.2544179999999995E-2</v>
      </c>
      <c r="H71" s="179">
        <f t="shared" si="61"/>
        <v>8.82280643</v>
      </c>
      <c r="I71" s="123" t="s">
        <v>567</v>
      </c>
      <c r="J71" s="11" t="s">
        <v>29</v>
      </c>
      <c r="K71" s="180">
        <f t="shared" si="62"/>
        <v>0.968183917189261</v>
      </c>
      <c r="L71" s="180">
        <f t="shared" si="56"/>
        <v>3.1816082810738944E-2</v>
      </c>
      <c r="M71" s="180">
        <f t="shared" si="56"/>
        <v>-9.355773659425054E-3</v>
      </c>
      <c r="AE71" s="123" t="s">
        <v>597</v>
      </c>
      <c r="AF71" s="174">
        <f>AF70/$AF69</f>
        <v>1.8598684486177058E-2</v>
      </c>
      <c r="AG71" s="174">
        <f t="shared" ref="AG71:AJ71" si="73">AG70/$AF69</f>
        <v>0.58954025527731291</v>
      </c>
      <c r="AH71" s="174">
        <f t="shared" si="73"/>
        <v>3.7450916280885368E-3</v>
      </c>
      <c r="AI71" s="174">
        <f t="shared" si="73"/>
        <v>8.3852344639425928E-3</v>
      </c>
      <c r="AJ71" s="174">
        <f t="shared" si="73"/>
        <v>0.37973073414447883</v>
      </c>
      <c r="AM71" s="173" t="s">
        <v>597</v>
      </c>
      <c r="AN71" s="174">
        <f>AN70/$AN69</f>
        <v>0.60071272165419209</v>
      </c>
      <c r="AO71" s="174">
        <f t="shared" ref="AO71:AQ71" si="74">AO70/$AN69</f>
        <v>3.8160654249049472E-3</v>
      </c>
      <c r="AP71" s="174">
        <f t="shared" si="74"/>
        <v>8.544144308133949E-3</v>
      </c>
      <c r="AQ71" s="174">
        <f t="shared" si="74"/>
        <v>0.3869270686127691</v>
      </c>
    </row>
    <row r="72" spans="2:43" ht="18" x14ac:dyDescent="0.25">
      <c r="B72" s="123" t="s">
        <v>569</v>
      </c>
      <c r="C72" s="11" t="s">
        <v>566</v>
      </c>
      <c r="D72" s="15">
        <f t="shared" si="59"/>
        <v>1.1910794099999999</v>
      </c>
      <c r="E72" s="178">
        <f t="shared" si="60"/>
        <v>1.0914883</v>
      </c>
      <c r="F72" s="178">
        <v>0.13790335000000001</v>
      </c>
      <c r="G72" s="178">
        <v>-3.8312239999999997E-2</v>
      </c>
      <c r="H72" s="179">
        <f t="shared" si="61"/>
        <v>1.2293916499999999</v>
      </c>
      <c r="I72" s="123" t="s">
        <v>569</v>
      </c>
      <c r="J72" s="11" t="s">
        <v>29</v>
      </c>
      <c r="K72" s="180">
        <f t="shared" si="62"/>
        <v>0.88782797573092354</v>
      </c>
      <c r="L72" s="180">
        <f t="shared" si="56"/>
        <v>0.11217202426907651</v>
      </c>
      <c r="M72" s="180">
        <f t="shared" si="56"/>
        <v>-3.1163575903578E-2</v>
      </c>
      <c r="AE72" s="286" t="str">
        <f>$B$36</f>
        <v>Global warming</v>
      </c>
      <c r="AF72" s="15">
        <f>D17</f>
        <v>350.10000002370003</v>
      </c>
      <c r="AG72" s="15">
        <f>AN72*Calculations!$C$47</f>
        <v>332.59912666846122</v>
      </c>
      <c r="AH72" s="15">
        <f>AO72*Calculations!$C$47</f>
        <v>281.21324896087305</v>
      </c>
      <c r="AI72" s="15">
        <f>AP72*Calculations!$C$47</f>
        <v>277.49671771881896</v>
      </c>
      <c r="AJ72" s="15">
        <f>AQ72*Calculations!$C$47</f>
        <v>266.10421784040022</v>
      </c>
      <c r="AM72" s="286" t="str">
        <f>$B$36</f>
        <v>Global warming</v>
      </c>
      <c r="AN72" s="15">
        <f>D36</f>
        <v>381.65437635454208</v>
      </c>
      <c r="AO72" s="15">
        <f>D55</f>
        <v>322.68956395000004</v>
      </c>
      <c r="AP72" s="15">
        <f>D74</f>
        <v>318.42487923000004</v>
      </c>
      <c r="AQ72" s="15">
        <f>D93</f>
        <v>305.35209254000006</v>
      </c>
    </row>
    <row r="73" spans="2:43" ht="18" x14ac:dyDescent="0.25">
      <c r="B73" s="123" t="s">
        <v>570</v>
      </c>
      <c r="C73" s="11" t="s">
        <v>571</v>
      </c>
      <c r="D73" s="15">
        <f t="shared" si="59"/>
        <v>5.7103986299999986E-2</v>
      </c>
      <c r="E73" s="178">
        <f t="shared" si="60"/>
        <v>5.587025629999999E-2</v>
      </c>
      <c r="F73" s="178">
        <v>2.60137E-3</v>
      </c>
      <c r="G73" s="178">
        <v>-1.36764E-3</v>
      </c>
      <c r="H73" s="179">
        <f t="shared" si="61"/>
        <v>5.8471626299999989E-2</v>
      </c>
      <c r="I73" s="123" t="s">
        <v>570</v>
      </c>
      <c r="J73" s="11" t="s">
        <v>29</v>
      </c>
      <c r="K73" s="180">
        <f t="shared" si="62"/>
        <v>0.95551055846038613</v>
      </c>
      <c r="L73" s="180">
        <f t="shared" si="56"/>
        <v>4.44894415396139E-2</v>
      </c>
      <c r="M73" s="180">
        <f t="shared" si="56"/>
        <v>-2.3389806074198424E-2</v>
      </c>
      <c r="AE73" s="286"/>
      <c r="AF73" s="15">
        <f>AF72-AG72</f>
        <v>17.500873355238809</v>
      </c>
      <c r="AG73" s="15">
        <f>AG72-AH72</f>
        <v>51.385877707588179</v>
      </c>
      <c r="AH73" s="15">
        <f t="shared" ref="AH73:AJ73" si="75">AH72-AI72</f>
        <v>3.7165312420540886</v>
      </c>
      <c r="AI73" s="15">
        <f t="shared" si="75"/>
        <v>11.392499878418732</v>
      </c>
      <c r="AJ73" s="15">
        <f t="shared" si="75"/>
        <v>266.10421784040022</v>
      </c>
      <c r="AM73" s="286"/>
      <c r="AN73" s="15">
        <f>AN72-AO72</f>
        <v>58.964812404542045</v>
      </c>
      <c r="AO73" s="15">
        <f t="shared" ref="AO73:AQ73" si="76">AO72-AP72</f>
        <v>4.2646847199999911</v>
      </c>
      <c r="AP73" s="15">
        <f t="shared" si="76"/>
        <v>13.072786689999987</v>
      </c>
      <c r="AQ73" s="15">
        <f t="shared" si="76"/>
        <v>305.35209254000006</v>
      </c>
    </row>
    <row r="74" spans="2:43" ht="30" x14ac:dyDescent="0.25">
      <c r="B74" s="171" t="s">
        <v>572</v>
      </c>
      <c r="C74" s="161" t="s">
        <v>573</v>
      </c>
      <c r="D74" s="185">
        <f t="shared" si="59"/>
        <v>318.42487923000004</v>
      </c>
      <c r="E74" s="186">
        <f t="shared" si="60"/>
        <v>305.35209254000006</v>
      </c>
      <c r="F74" s="186">
        <v>20.1336099</v>
      </c>
      <c r="G74" s="186">
        <v>-7.0608232099999997</v>
      </c>
      <c r="H74" s="179">
        <f t="shared" si="61"/>
        <v>325.48570244000007</v>
      </c>
      <c r="I74" s="123" t="s">
        <v>572</v>
      </c>
      <c r="J74" s="11" t="s">
        <v>29</v>
      </c>
      <c r="K74" s="180">
        <f t="shared" si="62"/>
        <v>0.9381428746360635</v>
      </c>
      <c r="L74" s="180">
        <f t="shared" si="56"/>
        <v>6.1857125363936449E-2</v>
      </c>
      <c r="M74" s="180">
        <f t="shared" si="56"/>
        <v>-2.1693190075842392E-2</v>
      </c>
      <c r="AE74" s="123" t="s">
        <v>597</v>
      </c>
      <c r="AF74" s="174">
        <f>AF73/$AF72</f>
        <v>4.9988212950740039E-2</v>
      </c>
      <c r="AG74" s="174">
        <f t="shared" ref="AG74:AJ74" si="77">AG73/$AF72</f>
        <v>0.14677485776666555</v>
      </c>
      <c r="AH74" s="174">
        <f t="shared" si="77"/>
        <v>1.0615627654391595E-2</v>
      </c>
      <c r="AI74" s="174">
        <f t="shared" si="77"/>
        <v>3.2540702306905214E-2</v>
      </c>
      <c r="AJ74" s="174">
        <f t="shared" si="77"/>
        <v>0.76008059932129757</v>
      </c>
      <c r="AM74" s="173" t="s">
        <v>597</v>
      </c>
      <c r="AN74" s="174">
        <f>AN73/$AN72</f>
        <v>0.15449793335990997</v>
      </c>
      <c r="AO74" s="174">
        <f t="shared" ref="AO74:AQ74" si="78">AO73/$AN72</f>
        <v>1.1174206256286354E-2</v>
      </c>
      <c r="AP74" s="174">
        <f t="shared" si="78"/>
        <v>3.4252945858678892E-2</v>
      </c>
      <c r="AQ74" s="174">
        <f t="shared" si="78"/>
        <v>0.8000749145251248</v>
      </c>
    </row>
    <row r="75" spans="2:43" x14ac:dyDescent="0.25">
      <c r="B75" s="123" t="s">
        <v>574</v>
      </c>
      <c r="C75" s="11" t="s">
        <v>575</v>
      </c>
      <c r="D75" s="15">
        <f t="shared" si="59"/>
        <v>5431.816149799999</v>
      </c>
      <c r="E75" s="178">
        <f t="shared" si="60"/>
        <v>5114.4426227999993</v>
      </c>
      <c r="F75" s="178">
        <v>410.01680399999998</v>
      </c>
      <c r="G75" s="178">
        <v>-92.643276999999998</v>
      </c>
      <c r="H75" s="179">
        <f t="shared" si="61"/>
        <v>5524.4594267999992</v>
      </c>
      <c r="I75" s="123" t="s">
        <v>574</v>
      </c>
      <c r="J75" s="11" t="s">
        <v>29</v>
      </c>
      <c r="K75" s="180">
        <f t="shared" si="62"/>
        <v>0.92578155212599711</v>
      </c>
      <c r="L75" s="180">
        <f t="shared" si="56"/>
        <v>7.421844787400296E-2</v>
      </c>
      <c r="M75" s="180">
        <f t="shared" si="56"/>
        <v>-1.6769654701521249E-2</v>
      </c>
      <c r="AE75" s="286" t="str">
        <f>$B$37</f>
        <v>Non-renewable energy</v>
      </c>
      <c r="AF75" s="15">
        <f>D18</f>
        <v>5738.03</v>
      </c>
      <c r="AG75" s="15">
        <f>AN75*Calculations!$C$47</f>
        <v>5445.2135525446101</v>
      </c>
      <c r="AH75" s="15">
        <f>AO75*Calculations!$C$47</f>
        <v>4809.3339511026379</v>
      </c>
      <c r="AI75" s="15">
        <f>AP75*Calculations!$C$47</f>
        <v>4733.6475606632266</v>
      </c>
      <c r="AJ75" s="15">
        <f>AQ75*Calculations!$C$47</f>
        <v>4457.0670615316512</v>
      </c>
      <c r="AM75" s="286" t="str">
        <f>$B$37</f>
        <v>Non-renewable energy</v>
      </c>
      <c r="AN75" s="15">
        <f>D37</f>
        <v>6248.3314473199989</v>
      </c>
      <c r="AO75" s="15">
        <f>D56</f>
        <v>5518.6655724999991</v>
      </c>
      <c r="AP75" s="15">
        <f>D75</f>
        <v>5431.816149799999</v>
      </c>
      <c r="AQ75" s="15">
        <f>D94</f>
        <v>5114.4426227999993</v>
      </c>
    </row>
    <row r="76" spans="2:43" x14ac:dyDescent="0.25">
      <c r="B76" s="123" t="s">
        <v>576</v>
      </c>
      <c r="C76" s="11" t="s">
        <v>577</v>
      </c>
      <c r="D76" s="15">
        <f t="shared" si="59"/>
        <v>12.44446696</v>
      </c>
      <c r="E76" s="178">
        <f t="shared" si="60"/>
        <v>12.28276544</v>
      </c>
      <c r="F76" s="178">
        <v>0.22874094</v>
      </c>
      <c r="G76" s="178">
        <v>-6.7039420000000002E-2</v>
      </c>
      <c r="H76" s="179">
        <f t="shared" si="61"/>
        <v>12.51150638</v>
      </c>
      <c r="I76" s="123" t="s">
        <v>576</v>
      </c>
      <c r="J76" s="11" t="s">
        <v>29</v>
      </c>
      <c r="K76" s="180">
        <f t="shared" si="62"/>
        <v>0.98171755398169736</v>
      </c>
      <c r="L76" s="180">
        <f t="shared" si="56"/>
        <v>1.8282446018302714E-2</v>
      </c>
      <c r="M76" s="180">
        <f t="shared" si="56"/>
        <v>-5.3582213015664071E-3</v>
      </c>
      <c r="AE76" s="286"/>
      <c r="AF76" s="15">
        <f>AF75-AG75</f>
        <v>292.81644745538961</v>
      </c>
      <c r="AG76" s="15">
        <f>AG75-AH75</f>
        <v>635.87960144197223</v>
      </c>
      <c r="AH76" s="15">
        <f t="shared" ref="AH76:AJ76" si="79">AH75-AI75</f>
        <v>75.686390439411298</v>
      </c>
      <c r="AI76" s="15">
        <f t="shared" si="79"/>
        <v>276.58049913157538</v>
      </c>
      <c r="AJ76" s="15">
        <f t="shared" si="79"/>
        <v>4457.0670615316512</v>
      </c>
      <c r="AM76" s="286"/>
      <c r="AN76" s="15">
        <f>AN75-AO75</f>
        <v>729.66587481999977</v>
      </c>
      <c r="AO76" s="15">
        <f t="shared" ref="AO76:AQ76" si="80">AO75-AP75</f>
        <v>86.849422700000105</v>
      </c>
      <c r="AP76" s="15">
        <f t="shared" si="80"/>
        <v>317.37352699999974</v>
      </c>
      <c r="AQ76" s="15">
        <f t="shared" si="80"/>
        <v>5114.4426227999993</v>
      </c>
    </row>
    <row r="77" spans="2:43" ht="30" x14ac:dyDescent="0.25">
      <c r="AE77" s="123" t="s">
        <v>597</v>
      </c>
      <c r="AF77" s="174">
        <f>AF76/$AF75</f>
        <v>5.1030832438204332E-2</v>
      </c>
      <c r="AG77" s="174">
        <f t="shared" ref="AG77:AJ77" si="81">AG76/$AF75</f>
        <v>0.11081845188017007</v>
      </c>
      <c r="AH77" s="174">
        <f t="shared" si="81"/>
        <v>1.3190309294202243E-2</v>
      </c>
      <c r="AI77" s="174">
        <f t="shared" si="81"/>
        <v>4.8201298900768276E-2</v>
      </c>
      <c r="AJ77" s="174">
        <f t="shared" si="81"/>
        <v>0.77675910748665511</v>
      </c>
      <c r="AM77" s="173" t="s">
        <v>597</v>
      </c>
      <c r="AN77" s="174">
        <f>AN76/$AN75</f>
        <v>0.11677771593454188</v>
      </c>
      <c r="AO77" s="174">
        <f t="shared" ref="AO77:AQ77" si="82">AO76/$AN75</f>
        <v>1.3899618391282859E-2</v>
      </c>
      <c r="AP77" s="174">
        <f t="shared" si="82"/>
        <v>5.0793324534044351E-2</v>
      </c>
      <c r="AQ77" s="174">
        <f t="shared" si="82"/>
        <v>0.81852934114013087</v>
      </c>
    </row>
    <row r="78" spans="2:43" x14ac:dyDescent="0.25">
      <c r="B78" s="282" t="s">
        <v>620</v>
      </c>
      <c r="C78" s="282"/>
      <c r="D78" s="282"/>
      <c r="E78" s="282"/>
      <c r="F78" s="282"/>
      <c r="G78" s="282"/>
      <c r="H78" s="282"/>
      <c r="I78" s="282"/>
      <c r="J78" s="282"/>
      <c r="K78" s="282"/>
      <c r="L78" s="282"/>
      <c r="M78" s="282"/>
      <c r="N78" s="282"/>
      <c r="O78" s="282"/>
      <c r="P78" s="282"/>
      <c r="Q78" s="282"/>
      <c r="AE78" s="286" t="str">
        <f>$B$38</f>
        <v>Mineral extraction</v>
      </c>
      <c r="AF78" s="15">
        <f>D19</f>
        <v>16.286999999999999</v>
      </c>
      <c r="AG78" s="15">
        <f>AN78*Calculations!$C$47</f>
        <v>15.773106817605402</v>
      </c>
      <c r="AH78" s="15">
        <f>AO78*Calculations!$C$47</f>
        <v>10.88716414625401</v>
      </c>
      <c r="AI78" s="15">
        <f>AP78*Calculations!$C$47</f>
        <v>10.844940079779231</v>
      </c>
      <c r="AJ78" s="15">
        <f>AQ78*Calculations!$C$47</f>
        <v>10.704022569945671</v>
      </c>
      <c r="AM78" s="286" t="str">
        <f>$B$38</f>
        <v>Mineral extraction</v>
      </c>
      <c r="AN78" s="15">
        <f>D38</f>
        <v>18.099492040000001</v>
      </c>
      <c r="AO78" s="15">
        <f>D57</f>
        <v>12.492918679999999</v>
      </c>
      <c r="AP78" s="15">
        <f>D76</f>
        <v>12.44446696</v>
      </c>
      <c r="AQ78" s="15">
        <f>D95</f>
        <v>12.28276544</v>
      </c>
    </row>
    <row r="79" spans="2:43" x14ac:dyDescent="0.25">
      <c r="AE79" s="286"/>
      <c r="AF79" s="15">
        <f>AF78-AG78</f>
        <v>0.51389318239459669</v>
      </c>
      <c r="AG79" s="15">
        <f>AG78-AH78</f>
        <v>4.8859426713513923</v>
      </c>
      <c r="AH79" s="15">
        <f t="shared" ref="AH79:AJ79" si="83">AH78-AI78</f>
        <v>4.222406647477861E-2</v>
      </c>
      <c r="AI79" s="15">
        <f t="shared" si="83"/>
        <v>0.14091750983356022</v>
      </c>
      <c r="AJ79" s="15">
        <f t="shared" si="83"/>
        <v>10.704022569945671</v>
      </c>
      <c r="AM79" s="286"/>
      <c r="AN79" s="15">
        <f>AN78-AO78</f>
        <v>5.6065733600000023</v>
      </c>
      <c r="AO79" s="15">
        <f t="shared" ref="AO79:AQ79" si="84">AO78-AP78</f>
        <v>4.8451719999999199E-2</v>
      </c>
      <c r="AP79" s="15">
        <f t="shared" si="84"/>
        <v>0.16170151999999938</v>
      </c>
      <c r="AQ79" s="15">
        <f t="shared" si="84"/>
        <v>12.28276544</v>
      </c>
    </row>
    <row r="80" spans="2:43" ht="32.450000000000003" customHeight="1" x14ac:dyDescent="0.25">
      <c r="B80" s="162" t="s">
        <v>547</v>
      </c>
      <c r="C80" s="162" t="s">
        <v>337</v>
      </c>
      <c r="D80" s="162" t="s">
        <v>213</v>
      </c>
      <c r="E80" s="162" t="s">
        <v>596</v>
      </c>
      <c r="F80" s="162" t="s">
        <v>585</v>
      </c>
      <c r="G80" s="162" t="s">
        <v>586</v>
      </c>
      <c r="H80" s="162" t="s">
        <v>209</v>
      </c>
      <c r="I80" s="162" t="s">
        <v>587</v>
      </c>
      <c r="J80" s="162" t="s">
        <v>581</v>
      </c>
      <c r="L80" s="122" t="s">
        <v>547</v>
      </c>
      <c r="M80" s="122" t="s">
        <v>337</v>
      </c>
      <c r="N80" s="162" t="s">
        <v>596</v>
      </c>
      <c r="O80" s="162" t="s">
        <v>585</v>
      </c>
      <c r="P80" s="162" t="s">
        <v>586</v>
      </c>
      <c r="Q80" s="162" t="s">
        <v>209</v>
      </c>
      <c r="R80" s="162" t="s">
        <v>587</v>
      </c>
      <c r="S80" s="162" t="s">
        <v>581</v>
      </c>
      <c r="AE80" s="123" t="s">
        <v>597</v>
      </c>
      <c r="AF80" s="174">
        <f>AF79/$AF78</f>
        <v>3.155235355772068E-2</v>
      </c>
      <c r="AG80" s="174">
        <f t="shared" ref="AG80:AJ80" si="85">AG79/$AF78</f>
        <v>0.29999034023155846</v>
      </c>
      <c r="AH80" s="174">
        <f t="shared" si="85"/>
        <v>2.5925011650260094E-3</v>
      </c>
      <c r="AI80" s="174">
        <f t="shared" si="85"/>
        <v>8.6521464869871809E-3</v>
      </c>
      <c r="AJ80" s="174">
        <f t="shared" si="85"/>
        <v>0.6572126585587077</v>
      </c>
      <c r="AM80" s="173" t="s">
        <v>597</v>
      </c>
      <c r="AN80" s="174">
        <f>AN79/$AN78</f>
        <v>0.30976412750200044</v>
      </c>
      <c r="AO80" s="174">
        <f t="shared" ref="AO80:AQ80" si="86">AO79/$AN78</f>
        <v>2.6769657343377684E-3</v>
      </c>
      <c r="AP80" s="174">
        <f t="shared" si="86"/>
        <v>8.9340363609452644E-3</v>
      </c>
      <c r="AQ80" s="174">
        <f t="shared" si="86"/>
        <v>0.67862487040271657</v>
      </c>
    </row>
    <row r="81" spans="2:19" ht="18" x14ac:dyDescent="0.25">
      <c r="B81" s="123" t="s">
        <v>550</v>
      </c>
      <c r="C81" s="11" t="s">
        <v>551</v>
      </c>
      <c r="D81" s="15">
        <f>SUM(E81:J81)</f>
        <v>4.0184170100000003</v>
      </c>
      <c r="E81" s="178">
        <v>0</v>
      </c>
      <c r="F81" s="178">
        <v>1.38</v>
      </c>
      <c r="G81" s="178">
        <v>1.0342786399999999</v>
      </c>
      <c r="H81" s="178">
        <v>0.93522095000000005</v>
      </c>
      <c r="I81" s="178">
        <v>2.8297000000000001E-4</v>
      </c>
      <c r="J81" s="178">
        <v>0.66863444999999999</v>
      </c>
      <c r="L81" s="123" t="s">
        <v>550</v>
      </c>
      <c r="M81" s="11" t="s">
        <v>29</v>
      </c>
      <c r="N81" s="180">
        <f t="shared" ref="N81:S81" si="87">E81/$D81</f>
        <v>0</v>
      </c>
      <c r="O81" s="180">
        <f t="shared" si="87"/>
        <v>0.34341881307136907</v>
      </c>
      <c r="P81" s="180">
        <f t="shared" si="87"/>
        <v>0.25738459632889116</v>
      </c>
      <c r="Q81" s="180">
        <f t="shared" si="87"/>
        <v>0.23273367290469438</v>
      </c>
      <c r="R81" s="180">
        <f t="shared" si="87"/>
        <v>7.0418276474496606E-5</v>
      </c>
      <c r="S81" s="180">
        <f t="shared" si="87"/>
        <v>0.16639249941857079</v>
      </c>
    </row>
    <row r="82" spans="2:19" ht="18" x14ac:dyDescent="0.25">
      <c r="B82" s="123" t="s">
        <v>552</v>
      </c>
      <c r="C82" s="11" t="s">
        <v>551</v>
      </c>
      <c r="D82" s="15">
        <f t="shared" ref="D82:D95" si="88">SUM(E82:J82)</f>
        <v>4.7646794000000003</v>
      </c>
      <c r="E82" s="178">
        <v>0</v>
      </c>
      <c r="F82" s="178">
        <v>3.11</v>
      </c>
      <c r="G82" s="178">
        <v>0.92095590000000005</v>
      </c>
      <c r="H82" s="178">
        <v>0.45605932999999999</v>
      </c>
      <c r="I82" s="178">
        <v>2.533183E-2</v>
      </c>
      <c r="J82" s="178">
        <v>0.25233233999999999</v>
      </c>
      <c r="L82" s="123" t="s">
        <v>552</v>
      </c>
      <c r="M82" s="11" t="s">
        <v>29</v>
      </c>
      <c r="N82" s="180">
        <f t="shared" ref="N82:N95" si="89">E82/$D82</f>
        <v>0</v>
      </c>
      <c r="O82" s="180">
        <f t="shared" ref="O82:O95" si="90">F82/$D82</f>
        <v>0.65271967721479851</v>
      </c>
      <c r="P82" s="180">
        <f t="shared" ref="P82:P95" si="91">G82/$D82</f>
        <v>0.19328811504085669</v>
      </c>
      <c r="Q82" s="180">
        <f t="shared" ref="Q82:Q95" si="92">H82/$D82</f>
        <v>9.5716687674725812E-2</v>
      </c>
      <c r="R82" s="180">
        <f t="shared" ref="R82:R95" si="93">I82/$D82</f>
        <v>5.316586463299083E-3</v>
      </c>
      <c r="S82" s="180">
        <f t="shared" ref="S82:S95" si="94">J82/$D82</f>
        <v>5.2958933606319862E-2</v>
      </c>
    </row>
    <row r="83" spans="2:19" x14ac:dyDescent="0.25">
      <c r="B83" s="123" t="s">
        <v>553</v>
      </c>
      <c r="C83" s="11" t="s">
        <v>554</v>
      </c>
      <c r="D83" s="15">
        <f t="shared" si="88"/>
        <v>0.24024551</v>
      </c>
      <c r="E83" s="178">
        <v>0</v>
      </c>
      <c r="F83" s="178">
        <v>0.109</v>
      </c>
      <c r="G83" s="178">
        <v>5.5212530000000003E-2</v>
      </c>
      <c r="H83" s="178">
        <v>1.8852520000000001E-2</v>
      </c>
      <c r="I83" s="178">
        <v>7.5383999999999998E-4</v>
      </c>
      <c r="J83" s="178">
        <v>5.6426619999999997E-2</v>
      </c>
      <c r="L83" s="123" t="s">
        <v>553</v>
      </c>
      <c r="M83" s="11" t="s">
        <v>29</v>
      </c>
      <c r="N83" s="180">
        <f t="shared" si="89"/>
        <v>0</v>
      </c>
      <c r="O83" s="180">
        <f t="shared" si="90"/>
        <v>0.45370254786447417</v>
      </c>
      <c r="P83" s="180">
        <f t="shared" si="91"/>
        <v>0.22981711500040106</v>
      </c>
      <c r="Q83" s="180">
        <f t="shared" si="92"/>
        <v>7.8471893189595937E-2</v>
      </c>
      <c r="R83" s="180">
        <f t="shared" si="93"/>
        <v>3.1377901713959193E-3</v>
      </c>
      <c r="S83" s="180">
        <f t="shared" si="94"/>
        <v>0.23487065377413296</v>
      </c>
    </row>
    <row r="84" spans="2:19" x14ac:dyDescent="0.25">
      <c r="B84" s="123" t="s">
        <v>555</v>
      </c>
      <c r="C84" s="11" t="s">
        <v>556</v>
      </c>
      <c r="D84" s="15">
        <f t="shared" si="88"/>
        <v>8173.1478079999997</v>
      </c>
      <c r="E84" s="178">
        <v>0</v>
      </c>
      <c r="F84" s="178">
        <v>4160</v>
      </c>
      <c r="G84" s="178">
        <v>1477.8236199999999</v>
      </c>
      <c r="H84" s="178">
        <v>520.23194799999999</v>
      </c>
      <c r="I84" s="178">
        <v>0</v>
      </c>
      <c r="J84" s="178">
        <v>2015.0922399999999</v>
      </c>
      <c r="L84" s="123" t="s">
        <v>555</v>
      </c>
      <c r="M84" s="11" t="s">
        <v>29</v>
      </c>
      <c r="N84" s="180">
        <f t="shared" si="89"/>
        <v>0</v>
      </c>
      <c r="O84" s="180">
        <f t="shared" si="90"/>
        <v>0.50898382088821759</v>
      </c>
      <c r="P84" s="180">
        <f t="shared" si="91"/>
        <v>0.18081449824674453</v>
      </c>
      <c r="Q84" s="180">
        <f t="shared" si="92"/>
        <v>6.3651356884894358E-2</v>
      </c>
      <c r="R84" s="180">
        <f t="shared" si="93"/>
        <v>0</v>
      </c>
      <c r="S84" s="180">
        <f t="shared" si="94"/>
        <v>0.24655032398014354</v>
      </c>
    </row>
    <row r="85" spans="2:19" x14ac:dyDescent="0.25">
      <c r="B85" s="123" t="s">
        <v>557</v>
      </c>
      <c r="C85" s="11" t="s">
        <v>558</v>
      </c>
      <c r="D85" s="15">
        <f t="shared" si="88"/>
        <v>4.5531745999999996E-5</v>
      </c>
      <c r="E85" s="178">
        <v>0</v>
      </c>
      <c r="F85" s="178">
        <v>3.1999999999999999E-5</v>
      </c>
      <c r="G85" s="178">
        <v>5.8961000000000002E-6</v>
      </c>
      <c r="H85" s="178">
        <v>1.632E-6</v>
      </c>
      <c r="I85" s="178">
        <v>2.6846000000000001E-8</v>
      </c>
      <c r="J85" s="178">
        <v>5.9768000000000001E-6</v>
      </c>
      <c r="L85" s="123" t="s">
        <v>557</v>
      </c>
      <c r="M85" s="11" t="s">
        <v>29</v>
      </c>
      <c r="N85" s="180">
        <f t="shared" si="89"/>
        <v>0</v>
      </c>
      <c r="O85" s="180">
        <f t="shared" si="90"/>
        <v>0.70280634526951813</v>
      </c>
      <c r="P85" s="180">
        <f t="shared" si="91"/>
        <v>0.12949426538573769</v>
      </c>
      <c r="Q85" s="180">
        <f t="shared" si="92"/>
        <v>3.5843123608745427E-2</v>
      </c>
      <c r="R85" s="180">
        <f t="shared" si="93"/>
        <v>5.8961059828454643E-4</v>
      </c>
      <c r="S85" s="180">
        <f t="shared" si="94"/>
        <v>0.13126665513771427</v>
      </c>
    </row>
    <row r="86" spans="2:19" ht="18" x14ac:dyDescent="0.25">
      <c r="B86" s="123" t="s">
        <v>559</v>
      </c>
      <c r="C86" s="11" t="s">
        <v>560</v>
      </c>
      <c r="D86" s="15">
        <f t="shared" si="88"/>
        <v>0.10298578000000001</v>
      </c>
      <c r="E86" s="178">
        <v>0</v>
      </c>
      <c r="F86" s="178">
        <v>7.9699999999999993E-2</v>
      </c>
      <c r="G86" s="178">
        <v>1.140525E-2</v>
      </c>
      <c r="H86" s="178">
        <v>5.9850499999999996E-3</v>
      </c>
      <c r="I86" s="178">
        <v>7.4388000000000004E-4</v>
      </c>
      <c r="J86" s="178">
        <v>5.1516000000000001E-3</v>
      </c>
      <c r="L86" s="123" t="s">
        <v>559</v>
      </c>
      <c r="M86" s="11" t="s">
        <v>29</v>
      </c>
      <c r="N86" s="180">
        <f t="shared" si="89"/>
        <v>0</v>
      </c>
      <c r="O86" s="180">
        <f t="shared" si="90"/>
        <v>0.77389325011666643</v>
      </c>
      <c r="P86" s="180">
        <f t="shared" si="91"/>
        <v>0.11074587190581067</v>
      </c>
      <c r="Q86" s="180">
        <f t="shared" si="92"/>
        <v>5.8115304850825028E-2</v>
      </c>
      <c r="R86" s="180">
        <f t="shared" si="93"/>
        <v>7.2231331354678284E-3</v>
      </c>
      <c r="S86" s="180">
        <f t="shared" si="94"/>
        <v>5.002243999122985E-2</v>
      </c>
    </row>
    <row r="87" spans="2:19" x14ac:dyDescent="0.25">
      <c r="B87" s="123" t="s">
        <v>561</v>
      </c>
      <c r="C87" s="11" t="s">
        <v>562</v>
      </c>
      <c r="D87" s="15">
        <f t="shared" si="88"/>
        <v>22866.818778000001</v>
      </c>
      <c r="E87" s="178">
        <v>0</v>
      </c>
      <c r="F87" s="178">
        <v>15300</v>
      </c>
      <c r="G87" s="178">
        <v>4013.8947600000001</v>
      </c>
      <c r="H87" s="178">
        <v>1056.99965</v>
      </c>
      <c r="I87" s="178">
        <v>154.95723799999999</v>
      </c>
      <c r="J87" s="178">
        <v>2340.96713</v>
      </c>
      <c r="L87" s="123" t="s">
        <v>561</v>
      </c>
      <c r="M87" s="11" t="s">
        <v>29</v>
      </c>
      <c r="N87" s="180">
        <f t="shared" si="89"/>
        <v>0</v>
      </c>
      <c r="O87" s="180">
        <f t="shared" si="90"/>
        <v>0.66909175904783125</v>
      </c>
      <c r="P87" s="180">
        <f t="shared" si="91"/>
        <v>0.17553358860139037</v>
      </c>
      <c r="Q87" s="180">
        <f t="shared" si="92"/>
        <v>4.6224167002055033E-2</v>
      </c>
      <c r="R87" s="180">
        <f t="shared" si="93"/>
        <v>6.776510519647937E-3</v>
      </c>
      <c r="S87" s="180">
        <f t="shared" si="94"/>
        <v>0.10237397482907537</v>
      </c>
    </row>
    <row r="88" spans="2:19" x14ac:dyDescent="0.25">
      <c r="B88" s="123" t="s">
        <v>563</v>
      </c>
      <c r="C88" s="11" t="s">
        <v>564</v>
      </c>
      <c r="D88" s="15">
        <f t="shared" si="88"/>
        <v>13557.68067745</v>
      </c>
      <c r="E88" s="178">
        <v>0</v>
      </c>
      <c r="F88" s="178">
        <v>11400</v>
      </c>
      <c r="G88" s="178">
        <v>1275.5384200000001</v>
      </c>
      <c r="H88" s="178">
        <v>322.54651699999999</v>
      </c>
      <c r="I88" s="178">
        <v>6.5029450000000003E-2</v>
      </c>
      <c r="J88" s="178">
        <v>559.530711</v>
      </c>
      <c r="L88" s="123" t="s">
        <v>563</v>
      </c>
      <c r="M88" s="11" t="s">
        <v>29</v>
      </c>
      <c r="N88" s="180">
        <f t="shared" si="89"/>
        <v>0</v>
      </c>
      <c r="O88" s="180">
        <f t="shared" si="90"/>
        <v>0.84085178514059622</v>
      </c>
      <c r="P88" s="180">
        <f t="shared" si="91"/>
        <v>9.4082347146703119E-2</v>
      </c>
      <c r="Q88" s="180">
        <f t="shared" si="92"/>
        <v>2.3790685492134356E-2</v>
      </c>
      <c r="R88" s="180">
        <f t="shared" si="93"/>
        <v>4.7965025543167669E-6</v>
      </c>
      <c r="S88" s="180">
        <f t="shared" si="94"/>
        <v>4.1270385718012018E-2</v>
      </c>
    </row>
    <row r="89" spans="2:19" ht="18" x14ac:dyDescent="0.25">
      <c r="B89" s="123" t="s">
        <v>565</v>
      </c>
      <c r="C89" s="11" t="s">
        <v>566</v>
      </c>
      <c r="D89" s="15">
        <f t="shared" si="88"/>
        <v>3.4474482800000001</v>
      </c>
      <c r="E89" s="178">
        <v>0</v>
      </c>
      <c r="F89" s="178">
        <v>1.53</v>
      </c>
      <c r="G89" s="178">
        <v>0.77342133000000002</v>
      </c>
      <c r="H89" s="178">
        <v>0.25278430000000002</v>
      </c>
      <c r="I89" s="178">
        <v>1.153612E-2</v>
      </c>
      <c r="J89" s="178">
        <v>0.87970652999999999</v>
      </c>
      <c r="L89" s="123" t="s">
        <v>565</v>
      </c>
      <c r="M89" s="11" t="s">
        <v>29</v>
      </c>
      <c r="N89" s="180">
        <f t="shared" si="89"/>
        <v>0</v>
      </c>
      <c r="O89" s="180">
        <f t="shared" si="90"/>
        <v>0.44380651303055951</v>
      </c>
      <c r="P89" s="180">
        <f t="shared" si="91"/>
        <v>0.22434602847761939</v>
      </c>
      <c r="Q89" s="180">
        <f t="shared" si="92"/>
        <v>7.3325044922791419E-2</v>
      </c>
      <c r="R89" s="180">
        <f t="shared" si="93"/>
        <v>3.3462779026811099E-3</v>
      </c>
      <c r="S89" s="180">
        <f t="shared" si="94"/>
        <v>0.25517613566634856</v>
      </c>
    </row>
    <row r="90" spans="2:19" x14ac:dyDescent="0.25">
      <c r="B90" s="123" t="s">
        <v>567</v>
      </c>
      <c r="C90" s="11" t="s">
        <v>568</v>
      </c>
      <c r="D90" s="15">
        <f t="shared" si="88"/>
        <v>8.5420992899999995</v>
      </c>
      <c r="E90" s="178">
        <v>0</v>
      </c>
      <c r="F90" s="178">
        <v>6.34</v>
      </c>
      <c r="G90" s="178">
        <v>1.2726604800000001</v>
      </c>
      <c r="H90" s="178">
        <v>0.31550223999999999</v>
      </c>
      <c r="I90" s="178">
        <v>0</v>
      </c>
      <c r="J90" s="178">
        <v>0.61393657000000001</v>
      </c>
      <c r="L90" s="123" t="s">
        <v>567</v>
      </c>
      <c r="M90" s="11" t="s">
        <v>29</v>
      </c>
      <c r="N90" s="180">
        <f t="shared" si="89"/>
        <v>0</v>
      </c>
      <c r="O90" s="180">
        <f t="shared" si="90"/>
        <v>0.74220631073933585</v>
      </c>
      <c r="P90" s="180">
        <f t="shared" si="91"/>
        <v>0.14898685168526063</v>
      </c>
      <c r="Q90" s="180">
        <f t="shared" si="92"/>
        <v>3.6934976905425319E-2</v>
      </c>
      <c r="R90" s="180">
        <f t="shared" si="93"/>
        <v>0</v>
      </c>
      <c r="S90" s="180">
        <f t="shared" si="94"/>
        <v>7.1871860669978235E-2</v>
      </c>
    </row>
    <row r="91" spans="2:19" ht="18" x14ac:dyDescent="0.25">
      <c r="B91" s="123" t="s">
        <v>569</v>
      </c>
      <c r="C91" s="11" t="s">
        <v>566</v>
      </c>
      <c r="D91" s="15">
        <f t="shared" si="88"/>
        <v>1.0914883</v>
      </c>
      <c r="E91" s="178">
        <v>0</v>
      </c>
      <c r="F91" s="178">
        <v>0.42599999999999999</v>
      </c>
      <c r="G91" s="178">
        <v>0.27496463999999998</v>
      </c>
      <c r="H91" s="178">
        <v>8.2251320000000003E-2</v>
      </c>
      <c r="I91" s="178">
        <v>6.6629499999999999E-3</v>
      </c>
      <c r="J91" s="178">
        <v>0.30160938999999998</v>
      </c>
      <c r="L91" s="123" t="s">
        <v>569</v>
      </c>
      <c r="M91" s="11" t="s">
        <v>29</v>
      </c>
      <c r="N91" s="180">
        <f t="shared" si="89"/>
        <v>0</v>
      </c>
      <c r="O91" s="180">
        <f t="shared" si="90"/>
        <v>0.39029277730233114</v>
      </c>
      <c r="P91" s="180">
        <f t="shared" si="91"/>
        <v>0.25191716667966113</v>
      </c>
      <c r="Q91" s="180">
        <f t="shared" si="92"/>
        <v>7.5357033144560506E-2</v>
      </c>
      <c r="R91" s="180">
        <f t="shared" si="93"/>
        <v>6.1044630528792661E-3</v>
      </c>
      <c r="S91" s="180">
        <f t="shared" si="94"/>
        <v>0.27632855982056792</v>
      </c>
    </row>
    <row r="92" spans="2:19" ht="18" x14ac:dyDescent="0.25">
      <c r="B92" s="123" t="s">
        <v>570</v>
      </c>
      <c r="C92" s="11" t="s">
        <v>571</v>
      </c>
      <c r="D92" s="15">
        <f t="shared" si="88"/>
        <v>5.587025629999999E-2</v>
      </c>
      <c r="E92" s="178">
        <v>0</v>
      </c>
      <c r="F92" s="178">
        <v>2.1299999999999999E-2</v>
      </c>
      <c r="G92" s="178">
        <v>2.455908E-2</v>
      </c>
      <c r="H92" s="178">
        <v>4.3141200000000003E-3</v>
      </c>
      <c r="I92" s="178">
        <v>7.5762999999999998E-6</v>
      </c>
      <c r="J92" s="178">
        <v>5.6894800000000002E-3</v>
      </c>
      <c r="L92" s="123" t="s">
        <v>570</v>
      </c>
      <c r="M92" s="11" t="s">
        <v>29</v>
      </c>
      <c r="N92" s="180">
        <f t="shared" si="89"/>
        <v>0</v>
      </c>
      <c r="O92" s="180">
        <f t="shared" si="90"/>
        <v>0.38124042040594691</v>
      </c>
      <c r="P92" s="180">
        <f t="shared" si="91"/>
        <v>0.43957342647808839</v>
      </c>
      <c r="Q92" s="180">
        <f t="shared" si="92"/>
        <v>7.7216756924023647E-2</v>
      </c>
      <c r="R92" s="180">
        <f t="shared" si="93"/>
        <v>1.3560524869115378E-4</v>
      </c>
      <c r="S92" s="180">
        <f t="shared" si="94"/>
        <v>0.10183379094325008</v>
      </c>
    </row>
    <row r="93" spans="2:19" ht="18" x14ac:dyDescent="0.25">
      <c r="B93" s="171" t="s">
        <v>572</v>
      </c>
      <c r="C93" s="161" t="s">
        <v>573</v>
      </c>
      <c r="D93" s="185">
        <f>SUM(F93:J93)</f>
        <v>305.35209254000006</v>
      </c>
      <c r="E93" s="189">
        <v>53.122517999999999</v>
      </c>
      <c r="F93" s="186">
        <v>173</v>
      </c>
      <c r="G93" s="186">
        <v>71.500898000000007</v>
      </c>
      <c r="H93" s="186">
        <v>15.9121243</v>
      </c>
      <c r="I93" s="186">
        <v>0.90471014000000005</v>
      </c>
      <c r="J93" s="186">
        <v>44.034360100000001</v>
      </c>
      <c r="L93" s="123" t="s">
        <v>572</v>
      </c>
      <c r="M93" s="11" t="s">
        <v>29</v>
      </c>
      <c r="N93" s="180">
        <f t="shared" si="89"/>
        <v>0.17397135732102814</v>
      </c>
      <c r="O93" s="180">
        <f t="shared" si="90"/>
        <v>0.56655907795142291</v>
      </c>
      <c r="P93" s="180">
        <f t="shared" si="91"/>
        <v>0.23415886036750719</v>
      </c>
      <c r="Q93" s="180">
        <f t="shared" si="92"/>
        <v>5.2110742610730815E-2</v>
      </c>
      <c r="R93" s="180">
        <f t="shared" si="93"/>
        <v>2.9628424435358541E-3</v>
      </c>
      <c r="S93" s="180">
        <f t="shared" si="94"/>
        <v>0.14420847662680306</v>
      </c>
    </row>
    <row r="94" spans="2:19" x14ac:dyDescent="0.25">
      <c r="B94" s="123" t="s">
        <v>574</v>
      </c>
      <c r="C94" s="11" t="s">
        <v>575</v>
      </c>
      <c r="D94" s="15">
        <f t="shared" si="88"/>
        <v>5114.4426227999993</v>
      </c>
      <c r="E94" s="178">
        <v>0</v>
      </c>
      <c r="F94" s="178">
        <v>2840</v>
      </c>
      <c r="G94" s="178">
        <v>1055.5122100000001</v>
      </c>
      <c r="H94" s="178">
        <v>282.89326999999997</v>
      </c>
      <c r="I94" s="178">
        <v>39.286501800000003</v>
      </c>
      <c r="J94" s="178">
        <v>896.75064099999997</v>
      </c>
      <c r="L94" s="123" t="s">
        <v>574</v>
      </c>
      <c r="M94" s="11" t="s">
        <v>29</v>
      </c>
      <c r="N94" s="180">
        <f t="shared" si="89"/>
        <v>0</v>
      </c>
      <c r="O94" s="180">
        <f t="shared" si="90"/>
        <v>0.55529022602372802</v>
      </c>
      <c r="P94" s="180">
        <f t="shared" si="91"/>
        <v>0.20637873720482561</v>
      </c>
      <c r="Q94" s="180">
        <f t="shared" si="92"/>
        <v>5.5312629520736442E-2</v>
      </c>
      <c r="R94" s="180">
        <f t="shared" si="93"/>
        <v>7.6814825578181692E-3</v>
      </c>
      <c r="S94" s="180">
        <f t="shared" si="94"/>
        <v>0.17533692469289189</v>
      </c>
    </row>
    <row r="95" spans="2:19" x14ac:dyDescent="0.25">
      <c r="B95" s="123" t="s">
        <v>576</v>
      </c>
      <c r="C95" s="11" t="s">
        <v>577</v>
      </c>
      <c r="D95" s="15">
        <f t="shared" si="88"/>
        <v>12.28276544</v>
      </c>
      <c r="E95" s="178">
        <v>0</v>
      </c>
      <c r="F95" s="178">
        <v>3.51</v>
      </c>
      <c r="G95" s="178">
        <v>7.6339774199999999</v>
      </c>
      <c r="H95" s="178">
        <v>0.63850711000000004</v>
      </c>
      <c r="I95" s="178">
        <v>0</v>
      </c>
      <c r="J95" s="178">
        <v>0.50028090999999997</v>
      </c>
      <c r="L95" s="123" t="s">
        <v>576</v>
      </c>
      <c r="M95" s="11" t="s">
        <v>29</v>
      </c>
      <c r="N95" s="180">
        <f t="shared" si="89"/>
        <v>0</v>
      </c>
      <c r="O95" s="180">
        <f t="shared" si="90"/>
        <v>0.28576626470203109</v>
      </c>
      <c r="P95" s="180">
        <f t="shared" si="91"/>
        <v>0.62151943365613926</v>
      </c>
      <c r="Q95" s="180">
        <f t="shared" si="92"/>
        <v>5.1983986270766072E-2</v>
      </c>
      <c r="R95" s="180">
        <f t="shared" si="93"/>
        <v>0</v>
      </c>
      <c r="S95" s="180">
        <f t="shared" si="94"/>
        <v>4.0730315371063537E-2</v>
      </c>
    </row>
    <row r="97" spans="2:30" s="148" customFormat="1" ht="15.75" thickBot="1" x14ac:dyDescent="0.3">
      <c r="AD97" s="190"/>
    </row>
    <row r="100" spans="2:30" x14ac:dyDescent="0.25">
      <c r="B100" s="282" t="s">
        <v>616</v>
      </c>
      <c r="C100" s="282"/>
      <c r="D100" s="282"/>
      <c r="E100" s="282"/>
      <c r="F100" s="282"/>
      <c r="G100" s="282"/>
      <c r="H100" s="282"/>
      <c r="I100" s="282"/>
      <c r="J100" s="282"/>
      <c r="K100" s="282"/>
      <c r="L100" s="282"/>
      <c r="M100" s="282"/>
      <c r="N100" s="282"/>
      <c r="O100" s="282"/>
      <c r="P100" s="282"/>
      <c r="Q100" s="282"/>
      <c r="R100" s="282"/>
      <c r="S100" s="282"/>
    </row>
    <row r="102" spans="2:30" ht="27.95" customHeight="1" x14ac:dyDescent="0.25">
      <c r="B102" s="162" t="s">
        <v>547</v>
      </c>
      <c r="C102" s="162" t="s">
        <v>337</v>
      </c>
      <c r="D102" s="162" t="s">
        <v>595</v>
      </c>
      <c r="E102" s="162" t="s">
        <v>615</v>
      </c>
      <c r="F102" s="162" t="s">
        <v>548</v>
      </c>
      <c r="G102" s="162" t="s">
        <v>549</v>
      </c>
      <c r="H102" s="162" t="s">
        <v>582</v>
      </c>
      <c r="L102" s="162" t="s">
        <v>547</v>
      </c>
      <c r="M102" s="162" t="s">
        <v>337</v>
      </c>
      <c r="N102" s="162" t="s">
        <v>615</v>
      </c>
      <c r="O102" s="162" t="s">
        <v>548</v>
      </c>
      <c r="P102" s="162" t="s">
        <v>549</v>
      </c>
      <c r="Q102" s="162" t="s">
        <v>582</v>
      </c>
    </row>
    <row r="103" spans="2:30" x14ac:dyDescent="0.25">
      <c r="B103" s="123" t="s">
        <v>588</v>
      </c>
      <c r="C103" s="11" t="s">
        <v>589</v>
      </c>
      <c r="D103" s="178">
        <f>SUM(E103:J103)</f>
        <v>2.473400242E-4</v>
      </c>
      <c r="E103" s="178">
        <v>0</v>
      </c>
      <c r="F103" s="178">
        <v>2.3800000000000001E-4</v>
      </c>
      <c r="G103" s="178">
        <v>2.4200000000000001E-11</v>
      </c>
      <c r="H103" s="178">
        <v>9.3400000000000004E-6</v>
      </c>
      <c r="L103" s="123" t="s">
        <v>588</v>
      </c>
      <c r="M103" s="11" t="s">
        <v>29</v>
      </c>
      <c r="N103" s="180">
        <f>E103/$D103</f>
        <v>0</v>
      </c>
      <c r="O103" s="180">
        <f t="shared" ref="O103:Q106" si="95">F103/$D103</f>
        <v>0.96223812045701262</v>
      </c>
      <c r="P103" s="180">
        <f t="shared" si="95"/>
        <v>9.7841018970839103E-8</v>
      </c>
      <c r="Q103" s="180">
        <f t="shared" si="95"/>
        <v>3.7761781701968478E-2</v>
      </c>
    </row>
    <row r="104" spans="2:30" ht="17.25" x14ac:dyDescent="0.25">
      <c r="B104" s="123" t="s">
        <v>590</v>
      </c>
      <c r="C104" s="11" t="s">
        <v>591</v>
      </c>
      <c r="D104" s="178">
        <f t="shared" ref="D104:D106" si="96">SUM(E104:J104)</f>
        <v>135.40003719999999</v>
      </c>
      <c r="E104" s="178">
        <v>0</v>
      </c>
      <c r="F104" s="178">
        <v>125</v>
      </c>
      <c r="G104" s="178">
        <v>3.7200000000000003E-5</v>
      </c>
      <c r="H104" s="178">
        <v>10.4</v>
      </c>
      <c r="L104" s="123" t="s">
        <v>590</v>
      </c>
      <c r="M104" s="11" t="s">
        <v>29</v>
      </c>
      <c r="N104" s="180">
        <f t="shared" ref="N104:N106" si="97">E104/$D104</f>
        <v>0</v>
      </c>
      <c r="O104" s="180">
        <f t="shared" si="95"/>
        <v>0.92319029289011167</v>
      </c>
      <c r="P104" s="180">
        <f t="shared" si="95"/>
        <v>2.7474143116409727E-7</v>
      </c>
      <c r="Q104" s="180">
        <f t="shared" si="95"/>
        <v>7.6809432368457289E-2</v>
      </c>
    </row>
    <row r="105" spans="2:30" s="192" customFormat="1" ht="18" x14ac:dyDescent="0.25">
      <c r="B105" s="171" t="s">
        <v>592</v>
      </c>
      <c r="C105" s="161" t="s">
        <v>573</v>
      </c>
      <c r="D105" s="186">
        <f t="shared" si="96"/>
        <v>350.10000002370003</v>
      </c>
      <c r="E105" s="186">
        <v>0</v>
      </c>
      <c r="F105" s="186">
        <v>332</v>
      </c>
      <c r="G105" s="186">
        <v>2.37E-8</v>
      </c>
      <c r="H105" s="186">
        <v>18.100000000000001</v>
      </c>
      <c r="I105" s="128"/>
      <c r="J105" s="128"/>
      <c r="K105" s="128"/>
      <c r="L105" s="171" t="s">
        <v>592</v>
      </c>
      <c r="M105" s="161" t="s">
        <v>29</v>
      </c>
      <c r="N105" s="191">
        <f t="shared" si="97"/>
        <v>0</v>
      </c>
      <c r="O105" s="191">
        <f t="shared" si="95"/>
        <v>0.9483004855113546</v>
      </c>
      <c r="P105" s="191">
        <f t="shared" si="95"/>
        <v>6.7694944297045494E-11</v>
      </c>
      <c r="Q105" s="191">
        <f t="shared" si="95"/>
        <v>5.169951442095036E-2</v>
      </c>
      <c r="R105" s="128"/>
      <c r="S105" s="128"/>
      <c r="AD105" s="193"/>
    </row>
    <row r="106" spans="2:30" x14ac:dyDescent="0.25">
      <c r="B106" s="123" t="s">
        <v>593</v>
      </c>
      <c r="C106" s="11" t="s">
        <v>575</v>
      </c>
      <c r="D106" s="178">
        <f t="shared" si="96"/>
        <v>5759.15</v>
      </c>
      <c r="E106" s="178">
        <v>0</v>
      </c>
      <c r="F106" s="178">
        <v>5460</v>
      </c>
      <c r="G106" s="178">
        <v>2.15</v>
      </c>
      <c r="H106" s="178">
        <v>297</v>
      </c>
      <c r="L106" s="123" t="s">
        <v>593</v>
      </c>
      <c r="M106" s="11" t="s">
        <v>29</v>
      </c>
      <c r="N106" s="180">
        <f t="shared" si="97"/>
        <v>0</v>
      </c>
      <c r="O106" s="180">
        <f t="shared" si="95"/>
        <v>0.94805657084812867</v>
      </c>
      <c r="P106" s="180">
        <f t="shared" si="95"/>
        <v>3.7331897936327411E-4</v>
      </c>
      <c r="Q106" s="180">
        <f t="shared" si="95"/>
        <v>5.15701101725081E-2</v>
      </c>
    </row>
    <row r="108" spans="2:30" ht="17.25" x14ac:dyDescent="0.25">
      <c r="B108" s="282" t="s">
        <v>617</v>
      </c>
      <c r="C108" s="282"/>
      <c r="D108" s="282"/>
      <c r="E108" s="282"/>
      <c r="F108" s="282"/>
      <c r="G108" s="282"/>
      <c r="H108" s="282"/>
      <c r="I108" s="282"/>
      <c r="J108" s="282"/>
      <c r="K108" s="282"/>
      <c r="L108" s="282"/>
      <c r="M108" s="282"/>
      <c r="N108" s="282"/>
      <c r="O108" s="282"/>
      <c r="P108" s="282"/>
      <c r="Q108" s="282"/>
      <c r="R108" s="282"/>
      <c r="S108" s="282"/>
      <c r="T108" s="282"/>
      <c r="U108" s="282"/>
      <c r="V108" s="282"/>
      <c r="W108" s="282"/>
      <c r="X108" s="282"/>
      <c r="Y108" s="282"/>
    </row>
    <row r="110" spans="2:30" ht="27.95" customHeight="1" x14ac:dyDescent="0.25">
      <c r="B110" s="162" t="s">
        <v>547</v>
      </c>
      <c r="C110" s="162" t="s">
        <v>337</v>
      </c>
      <c r="D110" s="162" t="s">
        <v>213</v>
      </c>
      <c r="E110" s="162" t="s">
        <v>578</v>
      </c>
      <c r="F110" s="162" t="s">
        <v>218</v>
      </c>
      <c r="G110" s="162" t="s">
        <v>579</v>
      </c>
      <c r="H110" s="162" t="s">
        <v>316</v>
      </c>
      <c r="I110" s="162" t="s">
        <v>580</v>
      </c>
      <c r="J110" s="162" t="s">
        <v>581</v>
      </c>
      <c r="L110" s="122" t="s">
        <v>547</v>
      </c>
      <c r="M110" s="122" t="s">
        <v>337</v>
      </c>
      <c r="N110" s="162" t="s">
        <v>578</v>
      </c>
      <c r="O110" s="162" t="s">
        <v>218</v>
      </c>
      <c r="P110" s="162" t="s">
        <v>579</v>
      </c>
      <c r="Q110" s="162" t="s">
        <v>316</v>
      </c>
      <c r="R110" s="162" t="s">
        <v>580</v>
      </c>
      <c r="S110" s="162" t="s">
        <v>581</v>
      </c>
    </row>
    <row r="111" spans="2:30" x14ac:dyDescent="0.25">
      <c r="B111" s="123" t="s">
        <v>588</v>
      </c>
      <c r="C111" s="11" t="s">
        <v>589</v>
      </c>
      <c r="D111" s="178">
        <f>SUM(E111:J111)</f>
        <v>2.7292673462790001E-4</v>
      </c>
      <c r="E111" s="178">
        <f>D119</f>
        <v>2.0462582E-4</v>
      </c>
      <c r="F111" s="178">
        <v>6.5772000000000007E-5</v>
      </c>
      <c r="G111" s="178">
        <v>1.3724999999999999E-7</v>
      </c>
      <c r="H111" s="178">
        <v>4.6278999999999997E-12</v>
      </c>
      <c r="I111" s="178">
        <v>7.3015999999999997E-7</v>
      </c>
      <c r="J111" s="178">
        <v>1.6615000000000001E-6</v>
      </c>
      <c r="L111" s="123" t="s">
        <v>588</v>
      </c>
      <c r="M111" s="11" t="s">
        <v>29</v>
      </c>
      <c r="N111" s="180">
        <f t="shared" ref="N111:S114" si="98">E111/$D111</f>
        <v>0.7497463386244686</v>
      </c>
      <c r="O111" s="180">
        <f t="shared" si="98"/>
        <v>0.24098775112548629</v>
      </c>
      <c r="P111" s="180">
        <f t="shared" si="98"/>
        <v>5.028822119134736E-4</v>
      </c>
      <c r="Q111" s="180">
        <f t="shared" si="98"/>
        <v>1.6956565307937082E-8</v>
      </c>
      <c r="R111" s="180">
        <f t="shared" si="98"/>
        <v>2.6752967275099591E-3</v>
      </c>
      <c r="S111" s="180">
        <f t="shared" si="98"/>
        <v>6.0877143540563677E-3</v>
      </c>
    </row>
    <row r="112" spans="2:30" ht="17.25" x14ac:dyDescent="0.25">
      <c r="B112" s="123" t="s">
        <v>590</v>
      </c>
      <c r="C112" s="11" t="s">
        <v>591</v>
      </c>
      <c r="D112" s="178">
        <f>SUM(E112:J112)</f>
        <v>143.4720554834</v>
      </c>
      <c r="E112" s="178">
        <f t="shared" ref="E112:E114" si="99">D120</f>
        <v>123.61657258</v>
      </c>
      <c r="F112" s="178">
        <v>19.578203999999999</v>
      </c>
      <c r="G112" s="178">
        <v>2.5783400000000001E-3</v>
      </c>
      <c r="H112" s="178">
        <v>7.1134000000000004E-6</v>
      </c>
      <c r="I112" s="178">
        <v>3.5251360000000002E-2</v>
      </c>
      <c r="J112" s="178">
        <v>0.23944209</v>
      </c>
      <c r="L112" s="123" t="s">
        <v>590</v>
      </c>
      <c r="M112" s="11" t="s">
        <v>29</v>
      </c>
      <c r="N112" s="180">
        <f t="shared" si="98"/>
        <v>0.86160731553959424</v>
      </c>
      <c r="O112" s="180">
        <f t="shared" si="98"/>
        <v>0.13646005094187305</v>
      </c>
      <c r="P112" s="180">
        <f t="shared" si="98"/>
        <v>1.7971025725621663E-5</v>
      </c>
      <c r="Q112" s="180">
        <f t="shared" si="98"/>
        <v>4.958038675916952E-8</v>
      </c>
      <c r="R112" s="180">
        <f t="shared" si="98"/>
        <v>2.4570192349463241E-4</v>
      </c>
      <c r="S112" s="180">
        <f t="shared" si="98"/>
        <v>1.6689109889256723E-3</v>
      </c>
    </row>
    <row r="113" spans="2:30" s="192" customFormat="1" ht="18" x14ac:dyDescent="0.25">
      <c r="B113" s="171" t="s">
        <v>592</v>
      </c>
      <c r="C113" s="161" t="s">
        <v>573</v>
      </c>
      <c r="D113" s="186">
        <f>SUM(E113:J113)</f>
        <v>381.65437635454208</v>
      </c>
      <c r="E113" s="186">
        <f t="shared" si="99"/>
        <v>322.68956395000004</v>
      </c>
      <c r="F113" s="186">
        <v>48.4310999</v>
      </c>
      <c r="G113" s="186">
        <v>2.1249600000000002</v>
      </c>
      <c r="H113" s="186">
        <v>4.5420999999999999E-9</v>
      </c>
      <c r="I113" s="186">
        <v>6.68803503</v>
      </c>
      <c r="J113" s="186">
        <v>1.7207174700000001</v>
      </c>
      <c r="K113" s="128"/>
      <c r="L113" s="171" t="s">
        <v>592</v>
      </c>
      <c r="M113" s="161" t="s">
        <v>29</v>
      </c>
      <c r="N113" s="191">
        <f t="shared" si="98"/>
        <v>0.84550206664008998</v>
      </c>
      <c r="O113" s="191">
        <f t="shared" si="98"/>
        <v>0.12689779785207911</v>
      </c>
      <c r="P113" s="191">
        <f t="shared" si="98"/>
        <v>5.5677600773166424E-3</v>
      </c>
      <c r="Q113" s="191">
        <f t="shared" si="98"/>
        <v>1.1901081924920902E-11</v>
      </c>
      <c r="R113" s="191">
        <f t="shared" si="98"/>
        <v>1.7523800182464241E-2</v>
      </c>
      <c r="S113" s="191">
        <f t="shared" si="98"/>
        <v>4.5085752361490559E-3</v>
      </c>
      <c r="AD113" s="193"/>
    </row>
    <row r="114" spans="2:30" x14ac:dyDescent="0.25">
      <c r="B114" s="123" t="s">
        <v>593</v>
      </c>
      <c r="C114" s="11" t="s">
        <v>575</v>
      </c>
      <c r="D114" s="178">
        <f>SUM(E114:J114)</f>
        <v>6262.9209431099989</v>
      </c>
      <c r="E114" s="178">
        <f t="shared" si="99"/>
        <v>5527.6484937999994</v>
      </c>
      <c r="F114" s="178">
        <v>562.102487</v>
      </c>
      <c r="G114" s="178">
        <v>24.7912</v>
      </c>
      <c r="H114" s="178">
        <v>0.41173841</v>
      </c>
      <c r="I114" s="178">
        <v>112.90541899999999</v>
      </c>
      <c r="J114" s="178">
        <v>35.061604899999999</v>
      </c>
      <c r="L114" s="123" t="s">
        <v>593</v>
      </c>
      <c r="M114" s="11" t="s">
        <v>29</v>
      </c>
      <c r="N114" s="180">
        <f t="shared" si="98"/>
        <v>0.88259911693139093</v>
      </c>
      <c r="O114" s="180">
        <f t="shared" si="98"/>
        <v>8.97508514167632E-2</v>
      </c>
      <c r="P114" s="180">
        <f t="shared" si="98"/>
        <v>3.9584085804681025E-3</v>
      </c>
      <c r="Q114" s="180">
        <f t="shared" si="98"/>
        <v>6.5742233334904873E-5</v>
      </c>
      <c r="R114" s="180">
        <f t="shared" si="98"/>
        <v>1.8027597669775821E-2</v>
      </c>
      <c r="S114" s="180">
        <f t="shared" si="98"/>
        <v>5.5982831682670651E-3</v>
      </c>
    </row>
    <row r="116" spans="2:30" x14ac:dyDescent="0.25">
      <c r="B116" s="283" t="s">
        <v>618</v>
      </c>
      <c r="C116" s="284"/>
      <c r="D116" s="284"/>
      <c r="E116" s="284"/>
      <c r="F116" s="284"/>
      <c r="G116" s="284"/>
      <c r="H116" s="284"/>
      <c r="I116" s="284"/>
      <c r="J116" s="284"/>
      <c r="K116" s="285"/>
    </row>
    <row r="118" spans="2:30" ht="28.5" customHeight="1" x14ac:dyDescent="0.25">
      <c r="B118" s="162" t="s">
        <v>547</v>
      </c>
      <c r="C118" s="162" t="s">
        <v>337</v>
      </c>
      <c r="D118" s="162" t="s">
        <v>213</v>
      </c>
      <c r="E118" s="162" t="s">
        <v>583</v>
      </c>
      <c r="F118" s="162" t="s">
        <v>581</v>
      </c>
      <c r="H118" s="122" t="s">
        <v>547</v>
      </c>
      <c r="I118" s="122" t="s">
        <v>337</v>
      </c>
      <c r="J118" s="162" t="s">
        <v>583</v>
      </c>
      <c r="K118" s="162" t="s">
        <v>581</v>
      </c>
    </row>
    <row r="119" spans="2:30" x14ac:dyDescent="0.25">
      <c r="B119" s="123" t="s">
        <v>588</v>
      </c>
      <c r="C119" s="11" t="s">
        <v>589</v>
      </c>
      <c r="D119" s="178">
        <f>SUM(E119:F119)</f>
        <v>2.0462582E-4</v>
      </c>
      <c r="E119" s="178">
        <f>D127</f>
        <v>2.0050802000000001E-4</v>
      </c>
      <c r="F119" s="178">
        <v>4.1177999999999998E-6</v>
      </c>
      <c r="H119" s="123" t="s">
        <v>588</v>
      </c>
      <c r="I119" s="11" t="s">
        <v>29</v>
      </c>
      <c r="J119" s="180">
        <f>E119/$D119</f>
        <v>0.97987643983540307</v>
      </c>
      <c r="K119" s="180">
        <f>F119/$D119</f>
        <v>2.0123560164597019E-2</v>
      </c>
    </row>
    <row r="120" spans="2:30" ht="17.25" x14ac:dyDescent="0.25">
      <c r="B120" s="123" t="s">
        <v>590</v>
      </c>
      <c r="C120" s="11" t="s">
        <v>591</v>
      </c>
      <c r="D120" s="178">
        <f t="shared" ref="D120:D122" si="100">SUM(E120:F120)</f>
        <v>123.61657258</v>
      </c>
      <c r="E120" s="178">
        <f t="shared" ref="E120:E122" si="101">D128</f>
        <v>123.02313115</v>
      </c>
      <c r="F120" s="178">
        <v>0.59344143000000005</v>
      </c>
      <c r="H120" s="123" t="s">
        <v>590</v>
      </c>
      <c r="I120" s="11" t="s">
        <v>29</v>
      </c>
      <c r="J120" s="180">
        <f t="shared" ref="J120:K122" si="102">E120/$D120</f>
        <v>0.99519933761619261</v>
      </c>
      <c r="K120" s="180">
        <f t="shared" si="102"/>
        <v>4.8006623838073737E-3</v>
      </c>
    </row>
    <row r="121" spans="2:30" s="192" customFormat="1" ht="18" x14ac:dyDescent="0.25">
      <c r="B121" s="171" t="s">
        <v>592</v>
      </c>
      <c r="C121" s="161" t="s">
        <v>573</v>
      </c>
      <c r="D121" s="186">
        <f t="shared" si="100"/>
        <v>322.68956395000004</v>
      </c>
      <c r="E121" s="186">
        <f t="shared" si="101"/>
        <v>318.42487923000004</v>
      </c>
      <c r="F121" s="186">
        <v>4.26468472</v>
      </c>
      <c r="H121" s="171" t="s">
        <v>592</v>
      </c>
      <c r="I121" s="161" t="s">
        <v>29</v>
      </c>
      <c r="J121" s="191">
        <f t="shared" si="102"/>
        <v>0.98678393974755008</v>
      </c>
      <c r="K121" s="191">
        <f t="shared" si="102"/>
        <v>1.3216060252449945E-2</v>
      </c>
      <c r="AD121" s="193"/>
    </row>
    <row r="122" spans="2:30" x14ac:dyDescent="0.25">
      <c r="B122" s="123" t="s">
        <v>593</v>
      </c>
      <c r="C122" s="11" t="s">
        <v>575</v>
      </c>
      <c r="D122" s="178">
        <f t="shared" si="100"/>
        <v>5527.6484937999994</v>
      </c>
      <c r="E122" s="178">
        <f t="shared" si="101"/>
        <v>5440.7506193999998</v>
      </c>
      <c r="F122" s="178">
        <v>86.897874400000006</v>
      </c>
      <c r="H122" s="123" t="s">
        <v>593</v>
      </c>
      <c r="I122" s="11" t="s">
        <v>29</v>
      </c>
      <c r="J122" s="180">
        <f t="shared" si="102"/>
        <v>0.9842794138416241</v>
      </c>
      <c r="K122" s="180">
        <f t="shared" si="102"/>
        <v>1.5720586158375963E-2</v>
      </c>
    </row>
    <row r="124" spans="2:30" x14ac:dyDescent="0.25">
      <c r="B124" s="282" t="s">
        <v>619</v>
      </c>
      <c r="C124" s="282"/>
      <c r="D124" s="282"/>
      <c r="E124" s="282"/>
      <c r="F124" s="282"/>
      <c r="G124" s="282"/>
      <c r="H124" s="282"/>
      <c r="I124" s="282"/>
      <c r="J124" s="282"/>
      <c r="K124" s="282"/>
      <c r="L124" s="282"/>
      <c r="M124" s="282"/>
    </row>
    <row r="126" spans="2:30" ht="28.5" customHeight="1" x14ac:dyDescent="0.25">
      <c r="B126" s="162" t="s">
        <v>547</v>
      </c>
      <c r="C126" s="162" t="s">
        <v>337</v>
      </c>
      <c r="D126" s="162" t="s">
        <v>213</v>
      </c>
      <c r="E126" s="162" t="s">
        <v>584</v>
      </c>
      <c r="F126" s="162" t="s">
        <v>581</v>
      </c>
      <c r="G126" s="162" t="s">
        <v>335</v>
      </c>
      <c r="I126" s="122" t="s">
        <v>547</v>
      </c>
      <c r="J126" s="122" t="s">
        <v>337</v>
      </c>
      <c r="K126" s="162" t="s">
        <v>584</v>
      </c>
      <c r="L126" s="162" t="s">
        <v>581</v>
      </c>
      <c r="M126" s="162" t="s">
        <v>335</v>
      </c>
    </row>
    <row r="127" spans="2:30" x14ac:dyDescent="0.25">
      <c r="B127" s="123" t="s">
        <v>588</v>
      </c>
      <c r="C127" s="11" t="s">
        <v>589</v>
      </c>
      <c r="D127" s="178">
        <f>SUM(E127:G127)</f>
        <v>2.0050802000000001E-4</v>
      </c>
      <c r="E127" s="178">
        <f>D135</f>
        <v>1.9419902000000002E-4</v>
      </c>
      <c r="F127" s="178">
        <v>1.944E-5</v>
      </c>
      <c r="G127" s="178">
        <v>-1.3131E-5</v>
      </c>
      <c r="H127" s="179">
        <f>SUM(E127:F127)</f>
        <v>2.1363902000000001E-4</v>
      </c>
      <c r="I127" s="123" t="s">
        <v>588</v>
      </c>
      <c r="J127" s="11" t="s">
        <v>29</v>
      </c>
      <c r="K127" s="180">
        <f>E127/$H127</f>
        <v>0.90900538675004228</v>
      </c>
      <c r="L127" s="180">
        <f t="shared" ref="L127:M130" si="103">F127/$H127</f>
        <v>9.0994613249957806E-2</v>
      </c>
      <c r="M127" s="180">
        <f t="shared" si="103"/>
        <v>-6.1463491079485386E-2</v>
      </c>
    </row>
    <row r="128" spans="2:30" ht="17.25" x14ac:dyDescent="0.25">
      <c r="B128" s="123" t="s">
        <v>590</v>
      </c>
      <c r="C128" s="11" t="s">
        <v>591</v>
      </c>
      <c r="D128" s="178">
        <f t="shared" ref="D128:D130" si="104">SUM(E128:G128)</f>
        <v>123.02313115</v>
      </c>
      <c r="E128" s="178">
        <f t="shared" ref="E128:E130" si="105">D136</f>
        <v>120.94154286</v>
      </c>
      <c r="F128" s="178">
        <v>2.8016416099999999</v>
      </c>
      <c r="G128" s="178">
        <v>-0.72005332</v>
      </c>
      <c r="H128" s="179">
        <f t="shared" ref="H128:H130" si="106">SUM(E128:F128)</f>
        <v>123.74318447</v>
      </c>
      <c r="I128" s="123" t="s">
        <v>590</v>
      </c>
      <c r="J128" s="11" t="s">
        <v>29</v>
      </c>
      <c r="K128" s="180">
        <f t="shared" ref="K128:K130" si="107">E128/$H128</f>
        <v>0.97735922489792371</v>
      </c>
      <c r="L128" s="180">
        <f t="shared" si="103"/>
        <v>2.2640775102076214E-2</v>
      </c>
      <c r="M128" s="180">
        <f t="shared" si="103"/>
        <v>-5.8189331645539478E-3</v>
      </c>
    </row>
    <row r="129" spans="2:30" s="192" customFormat="1" ht="18" x14ac:dyDescent="0.25">
      <c r="B129" s="171" t="s">
        <v>592</v>
      </c>
      <c r="C129" s="161" t="s">
        <v>573</v>
      </c>
      <c r="D129" s="186">
        <f t="shared" si="104"/>
        <v>318.42487923000004</v>
      </c>
      <c r="E129" s="186">
        <f t="shared" si="105"/>
        <v>305.35209254000006</v>
      </c>
      <c r="F129" s="186">
        <v>20.1336099</v>
      </c>
      <c r="G129" s="186">
        <v>-7.0608232099999997</v>
      </c>
      <c r="H129" s="179">
        <f t="shared" si="106"/>
        <v>325.48570244000007</v>
      </c>
      <c r="I129" s="171" t="s">
        <v>592</v>
      </c>
      <c r="J129" s="161" t="s">
        <v>29</v>
      </c>
      <c r="K129" s="191">
        <f t="shared" si="107"/>
        <v>0.9381428746360635</v>
      </c>
      <c r="L129" s="191">
        <f t="shared" si="103"/>
        <v>6.1857125363936449E-2</v>
      </c>
      <c r="M129" s="191">
        <f t="shared" si="103"/>
        <v>-2.1693190075842392E-2</v>
      </c>
      <c r="AD129" s="193"/>
    </row>
    <row r="130" spans="2:30" x14ac:dyDescent="0.25">
      <c r="B130" s="123" t="s">
        <v>593</v>
      </c>
      <c r="C130" s="11" t="s">
        <v>575</v>
      </c>
      <c r="D130" s="178">
        <f t="shared" si="104"/>
        <v>5440.7506193999998</v>
      </c>
      <c r="E130" s="178">
        <f t="shared" si="105"/>
        <v>5123.2153908</v>
      </c>
      <c r="F130" s="178">
        <v>410.24554499999999</v>
      </c>
      <c r="G130" s="178">
        <v>-92.710316399999996</v>
      </c>
      <c r="H130" s="179">
        <f t="shared" si="106"/>
        <v>5533.4609357999998</v>
      </c>
      <c r="I130" s="123" t="s">
        <v>593</v>
      </c>
      <c r="J130" s="11" t="s">
        <v>29</v>
      </c>
      <c r="K130" s="180">
        <f t="shared" si="107"/>
        <v>0.92586094855286283</v>
      </c>
      <c r="L130" s="180">
        <f t="shared" si="103"/>
        <v>7.4139051447137172E-2</v>
      </c>
      <c r="M130" s="180">
        <f t="shared" si="103"/>
        <v>-1.6754490087783805E-2</v>
      </c>
    </row>
    <row r="132" spans="2:30" x14ac:dyDescent="0.25">
      <c r="B132" s="282" t="s">
        <v>620</v>
      </c>
      <c r="C132" s="282"/>
      <c r="D132" s="282"/>
      <c r="E132" s="282"/>
      <c r="F132" s="282"/>
      <c r="G132" s="282"/>
      <c r="H132" s="282"/>
      <c r="I132" s="282"/>
      <c r="J132" s="282"/>
      <c r="K132" s="282"/>
      <c r="L132" s="282"/>
      <c r="M132" s="282"/>
      <c r="N132" s="282"/>
      <c r="O132" s="282"/>
      <c r="P132" s="282"/>
      <c r="Q132" s="282"/>
    </row>
    <row r="134" spans="2:30" ht="27.95" customHeight="1" x14ac:dyDescent="0.25">
      <c r="B134" s="162" t="s">
        <v>547</v>
      </c>
      <c r="C134" s="162" t="s">
        <v>337</v>
      </c>
      <c r="D134" s="162" t="s">
        <v>213</v>
      </c>
      <c r="E134" s="162" t="s">
        <v>596</v>
      </c>
      <c r="F134" s="162" t="s">
        <v>585</v>
      </c>
      <c r="G134" s="162" t="s">
        <v>586</v>
      </c>
      <c r="H134" s="162" t="s">
        <v>209</v>
      </c>
      <c r="I134" s="162" t="s">
        <v>587</v>
      </c>
      <c r="J134" s="162" t="s">
        <v>581</v>
      </c>
      <c r="L134" s="122" t="s">
        <v>547</v>
      </c>
      <c r="M134" s="122" t="s">
        <v>337</v>
      </c>
      <c r="N134" s="162" t="s">
        <v>596</v>
      </c>
      <c r="O134" s="162" t="s">
        <v>585</v>
      </c>
      <c r="P134" s="162" t="s">
        <v>586</v>
      </c>
      <c r="Q134" s="162" t="s">
        <v>209</v>
      </c>
      <c r="R134" s="162" t="s">
        <v>587</v>
      </c>
      <c r="S134" s="162" t="s">
        <v>581</v>
      </c>
    </row>
    <row r="135" spans="2:30" x14ac:dyDescent="0.25">
      <c r="B135" s="123" t="s">
        <v>588</v>
      </c>
      <c r="C135" s="11" t="s">
        <v>589</v>
      </c>
      <c r="D135" s="178">
        <f>SUM(E135:J135)</f>
        <v>1.9419902000000002E-4</v>
      </c>
      <c r="E135" s="178">
        <v>0</v>
      </c>
      <c r="F135" s="178">
        <v>8.9400000000000005E-5</v>
      </c>
      <c r="G135" s="178">
        <v>4.4464E-5</v>
      </c>
      <c r="H135" s="178">
        <v>1.7215999999999999E-5</v>
      </c>
      <c r="I135" s="178">
        <v>6.0101999999999996E-7</v>
      </c>
      <c r="J135" s="178">
        <v>4.2518000000000002E-5</v>
      </c>
      <c r="L135" s="123" t="s">
        <v>588</v>
      </c>
      <c r="M135" s="11" t="s">
        <v>29</v>
      </c>
      <c r="N135" s="180">
        <f t="shared" ref="N135:S135" si="108">E135/$D135</f>
        <v>0</v>
      </c>
      <c r="O135" s="180">
        <f t="shared" si="108"/>
        <v>0.46035247757686931</v>
      </c>
      <c r="P135" s="180">
        <f t="shared" si="108"/>
        <v>0.22896099063733688</v>
      </c>
      <c r="Q135" s="180">
        <f t="shared" si="108"/>
        <v>8.8651322751268247E-2</v>
      </c>
      <c r="R135" s="180">
        <f t="shared" si="108"/>
        <v>3.0948662871728184E-3</v>
      </c>
      <c r="S135" s="180">
        <f t="shared" si="108"/>
        <v>0.21894034274735269</v>
      </c>
    </row>
    <row r="136" spans="2:30" ht="17.25" x14ac:dyDescent="0.25">
      <c r="B136" s="123" t="s">
        <v>590</v>
      </c>
      <c r="C136" s="11" t="s">
        <v>591</v>
      </c>
      <c r="D136" s="178">
        <f>SUM(E136:J136)</f>
        <v>120.94154286</v>
      </c>
      <c r="E136" s="178">
        <v>0</v>
      </c>
      <c r="F136" s="178">
        <v>99.1</v>
      </c>
      <c r="G136" s="178">
        <v>12.482564500000001</v>
      </c>
      <c r="H136" s="178">
        <v>3.2111974399999998</v>
      </c>
      <c r="I136" s="178">
        <v>2.0290800000000001E-2</v>
      </c>
      <c r="J136" s="178">
        <v>6.12749012</v>
      </c>
      <c r="L136" s="123" t="s">
        <v>590</v>
      </c>
      <c r="M136" s="11" t="s">
        <v>29</v>
      </c>
      <c r="N136" s="180">
        <f t="shared" ref="N136:N138" si="109">E136/$D136</f>
        <v>0</v>
      </c>
      <c r="O136" s="180">
        <f t="shared" ref="O136:S138" si="110">F136/$D136</f>
        <v>0.8194041324139264</v>
      </c>
      <c r="P136" s="180">
        <f t="shared" si="110"/>
        <v>0.10321155332415113</v>
      </c>
      <c r="Q136" s="180">
        <f t="shared" si="110"/>
        <v>2.6551649367638964E-2</v>
      </c>
      <c r="R136" s="180">
        <f t="shared" si="110"/>
        <v>1.6777361624605955E-4</v>
      </c>
      <c r="S136" s="180">
        <f t="shared" si="110"/>
        <v>5.0664891278037395E-2</v>
      </c>
    </row>
    <row r="137" spans="2:30" s="192" customFormat="1" ht="18" x14ac:dyDescent="0.25">
      <c r="B137" s="171" t="s">
        <v>592</v>
      </c>
      <c r="C137" s="161" t="s">
        <v>573</v>
      </c>
      <c r="D137" s="186">
        <f>SUM(F137:J137)</f>
        <v>305.35209254000006</v>
      </c>
      <c r="E137" s="189">
        <v>53.122517999999999</v>
      </c>
      <c r="F137" s="186">
        <v>173</v>
      </c>
      <c r="G137" s="186">
        <v>71.500898000000007</v>
      </c>
      <c r="H137" s="186">
        <v>15.9121243</v>
      </c>
      <c r="I137" s="186">
        <v>0.90471014000000005</v>
      </c>
      <c r="J137" s="186">
        <v>44.034360100000001</v>
      </c>
      <c r="L137" s="171" t="s">
        <v>592</v>
      </c>
      <c r="M137" s="161" t="s">
        <v>29</v>
      </c>
      <c r="N137" s="191">
        <f t="shared" si="109"/>
        <v>0.17397135732102814</v>
      </c>
      <c r="O137" s="191">
        <f>F137/$D137</f>
        <v>0.56655907795142291</v>
      </c>
      <c r="P137" s="191">
        <f t="shared" si="110"/>
        <v>0.23415886036750719</v>
      </c>
      <c r="Q137" s="191">
        <f t="shared" si="110"/>
        <v>5.2110742610730815E-2</v>
      </c>
      <c r="R137" s="191">
        <f t="shared" si="110"/>
        <v>2.9628424435358541E-3</v>
      </c>
      <c r="S137" s="191">
        <f t="shared" si="110"/>
        <v>0.14420847662680306</v>
      </c>
      <c r="AD137" s="193"/>
    </row>
    <row r="138" spans="2:30" x14ac:dyDescent="0.25">
      <c r="B138" s="123" t="s">
        <v>593</v>
      </c>
      <c r="C138" s="11" t="s">
        <v>575</v>
      </c>
      <c r="D138" s="178">
        <f>SUM(E138:J138)</f>
        <v>5123.2153908</v>
      </c>
      <c r="E138" s="178">
        <v>0</v>
      </c>
      <c r="F138" s="178">
        <v>2840</v>
      </c>
      <c r="G138" s="178">
        <v>1063.1461899999999</v>
      </c>
      <c r="H138" s="178">
        <v>283.53177699999998</v>
      </c>
      <c r="I138" s="178">
        <v>39.286501800000003</v>
      </c>
      <c r="J138" s="178">
        <v>897.25092199999995</v>
      </c>
      <c r="L138" s="123" t="s">
        <v>593</v>
      </c>
      <c r="M138" s="11" t="s">
        <v>29</v>
      </c>
      <c r="N138" s="180">
        <f t="shared" si="109"/>
        <v>0</v>
      </c>
      <c r="O138" s="180">
        <f t="shared" si="110"/>
        <v>0.55433937153997515</v>
      </c>
      <c r="P138" s="180">
        <f t="shared" si="110"/>
        <v>0.20751541930271794</v>
      </c>
      <c r="Q138" s="180">
        <f t="shared" si="110"/>
        <v>5.5342544744293086E-2</v>
      </c>
      <c r="R138" s="180">
        <f t="shared" si="110"/>
        <v>7.6683291259915859E-3</v>
      </c>
      <c r="S138" s="180">
        <f t="shared" si="110"/>
        <v>0.17513433528702224</v>
      </c>
    </row>
  </sheetData>
  <mergeCells count="52">
    <mergeCell ref="AE78:AE79"/>
    <mergeCell ref="AM78:AM79"/>
    <mergeCell ref="AE69:AE70"/>
    <mergeCell ref="AM69:AM70"/>
    <mergeCell ref="AE72:AE73"/>
    <mergeCell ref="AM72:AM73"/>
    <mergeCell ref="AE75:AE76"/>
    <mergeCell ref="AM75:AM76"/>
    <mergeCell ref="AE60:AE61"/>
    <mergeCell ref="AM60:AM61"/>
    <mergeCell ref="AE63:AE64"/>
    <mergeCell ref="AM63:AM64"/>
    <mergeCell ref="AE66:AE67"/>
    <mergeCell ref="AM66:AM67"/>
    <mergeCell ref="AE51:AE52"/>
    <mergeCell ref="AM51:AM52"/>
    <mergeCell ref="AE54:AE55"/>
    <mergeCell ref="AM54:AM55"/>
    <mergeCell ref="AE57:AE58"/>
    <mergeCell ref="AM57:AM58"/>
    <mergeCell ref="B132:Q132"/>
    <mergeCell ref="B78:Q78"/>
    <mergeCell ref="B2:S2"/>
    <mergeCell ref="AE5:AE6"/>
    <mergeCell ref="AM5:AM6"/>
    <mergeCell ref="AE8:AE9"/>
    <mergeCell ref="AM8:AM9"/>
    <mergeCell ref="AE11:AE12"/>
    <mergeCell ref="AM11:AM12"/>
    <mergeCell ref="AE14:AE15"/>
    <mergeCell ref="AM14:AM15"/>
    <mergeCell ref="B21:Y21"/>
    <mergeCell ref="B40:K40"/>
    <mergeCell ref="B59:M59"/>
    <mergeCell ref="AF2:AJ2"/>
    <mergeCell ref="AF33:AJ33"/>
    <mergeCell ref="AN2:AQ2"/>
    <mergeCell ref="B100:S100"/>
    <mergeCell ref="B108:Y108"/>
    <mergeCell ref="B116:K116"/>
    <mergeCell ref="B124:M124"/>
    <mergeCell ref="AN33:AQ33"/>
    <mergeCell ref="AE36:AE37"/>
    <mergeCell ref="AM36:AM37"/>
    <mergeCell ref="AE39:AE40"/>
    <mergeCell ref="AM39:AM40"/>
    <mergeCell ref="AE42:AE43"/>
    <mergeCell ref="AM42:AM43"/>
    <mergeCell ref="AE45:AE46"/>
    <mergeCell ref="AM45:AM46"/>
    <mergeCell ref="AE48:AE49"/>
    <mergeCell ref="AM48:AM49"/>
  </mergeCell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138"/>
  <sheetViews>
    <sheetView topLeftCell="A114" zoomScale="90" zoomScaleNormal="90" workbookViewId="0">
      <selection activeCell="Q141" sqref="Q141"/>
    </sheetView>
  </sheetViews>
  <sheetFormatPr defaultColWidth="10.85546875" defaultRowHeight="15" x14ac:dyDescent="0.25"/>
  <cols>
    <col min="1" max="1" width="10.85546875" style="128"/>
    <col min="2" max="2" width="20.7109375" style="128" bestFit="1" customWidth="1"/>
    <col min="3" max="3" width="12.140625" style="128" bestFit="1" customWidth="1"/>
    <col min="4" max="4" width="15" style="128" bestFit="1" customWidth="1"/>
    <col min="5" max="5" width="13.5703125" style="128" customWidth="1"/>
    <col min="6" max="6" width="14.28515625" style="128" customWidth="1"/>
    <col min="7" max="7" width="12.42578125" style="128" bestFit="1" customWidth="1"/>
    <col min="8" max="8" width="19.85546875" style="128" bestFit="1" customWidth="1"/>
    <col min="9" max="9" width="20.5703125" style="128" bestFit="1" customWidth="1"/>
    <col min="10" max="10" width="12.140625" style="128" customWidth="1"/>
    <col min="11" max="11" width="20.42578125" style="128" customWidth="1"/>
    <col min="12" max="12" width="22.140625" style="128" customWidth="1"/>
    <col min="13" max="13" width="10.85546875" style="128" customWidth="1"/>
    <col min="14" max="14" width="14.28515625" style="128" customWidth="1"/>
    <col min="15" max="15" width="19.85546875" style="128" customWidth="1"/>
    <col min="16" max="16" width="10.85546875" style="128" customWidth="1"/>
    <col min="17" max="17" width="13.140625" style="128" customWidth="1"/>
    <col min="18" max="18" width="13.5703125" style="128" customWidth="1"/>
    <col min="19" max="23" width="10.85546875" style="128" customWidth="1"/>
    <col min="24" max="24" width="13.28515625" style="128" customWidth="1"/>
    <col min="25" max="25" width="13.42578125" style="128" customWidth="1"/>
    <col min="26" max="26" width="10.85546875" style="128"/>
    <col min="27" max="27" width="15.5703125" style="128" bestFit="1" customWidth="1"/>
    <col min="28" max="29" width="10.85546875" style="128"/>
    <col min="30" max="30" width="10.85546875" style="176"/>
    <col min="31" max="31" width="14.42578125" style="128" bestFit="1" customWidth="1"/>
    <col min="32" max="32" width="13.42578125" style="128" customWidth="1"/>
    <col min="33" max="33" width="14.140625" style="128" customWidth="1"/>
    <col min="34" max="34" width="13.140625" style="128" customWidth="1"/>
    <col min="35" max="38" width="10.85546875" style="128"/>
    <col min="39" max="39" width="15.5703125" style="128" bestFit="1" customWidth="1"/>
    <col min="40" max="40" width="11.85546875" style="128" customWidth="1"/>
    <col min="41" max="41" width="13.5703125" style="128" customWidth="1"/>
    <col min="42" max="16384" width="10.85546875" style="128"/>
  </cols>
  <sheetData>
    <row r="1" spans="1:44" ht="15.75" thickBot="1" x14ac:dyDescent="0.3">
      <c r="A1" s="175" t="s">
        <v>594</v>
      </c>
    </row>
    <row r="2" spans="1:44" ht="18" thickBot="1" x14ac:dyDescent="0.3">
      <c r="B2" s="282" t="s">
        <v>622</v>
      </c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AF2" s="279" t="s">
        <v>609</v>
      </c>
      <c r="AG2" s="280"/>
      <c r="AH2" s="280"/>
      <c r="AI2" s="280"/>
      <c r="AJ2" s="281"/>
      <c r="AN2" s="279" t="s">
        <v>610</v>
      </c>
      <c r="AO2" s="280"/>
      <c r="AP2" s="280"/>
      <c r="AQ2" s="281"/>
    </row>
    <row r="4" spans="1:44" ht="30" customHeight="1" x14ac:dyDescent="0.25">
      <c r="B4" s="162" t="s">
        <v>547</v>
      </c>
      <c r="C4" s="162" t="s">
        <v>337</v>
      </c>
      <c r="D4" s="162" t="s">
        <v>595</v>
      </c>
      <c r="E4" s="162" t="s">
        <v>615</v>
      </c>
      <c r="F4" s="162" t="s">
        <v>548</v>
      </c>
      <c r="G4" s="162" t="s">
        <v>549</v>
      </c>
      <c r="H4" s="162" t="s">
        <v>582</v>
      </c>
      <c r="L4" s="162" t="s">
        <v>547</v>
      </c>
      <c r="M4" s="162" t="s">
        <v>337</v>
      </c>
      <c r="N4" s="162" t="s">
        <v>615</v>
      </c>
      <c r="O4" s="162" t="s">
        <v>548</v>
      </c>
      <c r="P4" s="162" t="s">
        <v>549</v>
      </c>
      <c r="Q4" s="162" t="s">
        <v>582</v>
      </c>
      <c r="AF4" s="162" t="s">
        <v>615</v>
      </c>
      <c r="AG4" s="162" t="s">
        <v>548</v>
      </c>
      <c r="AH4" s="162" t="s">
        <v>578</v>
      </c>
      <c r="AI4" s="162" t="s">
        <v>583</v>
      </c>
      <c r="AJ4" s="162" t="s">
        <v>596</v>
      </c>
      <c r="AM4" s="177" t="s">
        <v>600</v>
      </c>
      <c r="AN4" s="162" t="s">
        <v>548</v>
      </c>
      <c r="AO4" s="162" t="s">
        <v>578</v>
      </c>
      <c r="AP4" s="162" t="s">
        <v>583</v>
      </c>
      <c r="AQ4" s="162" t="s">
        <v>596</v>
      </c>
    </row>
    <row r="5" spans="1:44" ht="18" x14ac:dyDescent="0.25">
      <c r="B5" s="123" t="s">
        <v>550</v>
      </c>
      <c r="C5" s="11" t="s">
        <v>551</v>
      </c>
      <c r="D5" s="15">
        <f>SUM(E5:J5)</f>
        <v>4.5340000764999999</v>
      </c>
      <c r="E5" s="178">
        <v>0</v>
      </c>
      <c r="F5" s="178">
        <v>4.3899999999999997</v>
      </c>
      <c r="G5" s="178">
        <v>7.6500000000000003E-8</v>
      </c>
      <c r="H5" s="178">
        <v>0.14399999999999999</v>
      </c>
      <c r="L5" s="123" t="s">
        <v>550</v>
      </c>
      <c r="M5" s="11" t="s">
        <v>29</v>
      </c>
      <c r="N5" s="180">
        <f>E5/$D5</f>
        <v>0</v>
      </c>
      <c r="O5" s="180">
        <f t="shared" ref="O5:Q19" si="0">F5/$D5</f>
        <v>0.96823994837442517</v>
      </c>
      <c r="P5" s="180">
        <f t="shared" si="0"/>
        <v>1.6872518462561169E-8</v>
      </c>
      <c r="Q5" s="180">
        <f t="shared" si="0"/>
        <v>3.1760034753056318E-2</v>
      </c>
      <c r="T5" s="181"/>
      <c r="AE5" s="287" t="s">
        <v>572</v>
      </c>
      <c r="AF5" s="178">
        <f>D105</f>
        <v>327.10000002370003</v>
      </c>
      <c r="AG5" s="178">
        <f>AN5*Calculations!$C$47</f>
        <v>308.9742284692839</v>
      </c>
      <c r="AH5" s="178">
        <f>AO5*Calculations!$C$47</f>
        <v>258.06904461040233</v>
      </c>
      <c r="AI5" s="178">
        <f>AP5*Calculations!$C$47</f>
        <v>255.54388118637257</v>
      </c>
      <c r="AJ5" s="178">
        <f>AQ5*Calculations!$C$47</f>
        <v>249.77588902641156</v>
      </c>
      <c r="AM5" s="287" t="s">
        <v>572</v>
      </c>
      <c r="AN5" s="15">
        <f>D113</f>
        <v>354.54502739454205</v>
      </c>
      <c r="AO5" s="15">
        <f>D121</f>
        <v>296.13180667</v>
      </c>
      <c r="AP5" s="15">
        <f>D129</f>
        <v>293.23420534000002</v>
      </c>
      <c r="AQ5" s="15">
        <f>D137</f>
        <v>286.61548847</v>
      </c>
    </row>
    <row r="6" spans="1:44" ht="18" x14ac:dyDescent="0.25">
      <c r="B6" s="123" t="s">
        <v>552</v>
      </c>
      <c r="C6" s="11" t="s">
        <v>551</v>
      </c>
      <c r="D6" s="15">
        <f t="shared" ref="D6:D19" si="1">SUM(E6:J6)</f>
        <v>7.846001639999999</v>
      </c>
      <c r="E6" s="178">
        <v>0</v>
      </c>
      <c r="F6" s="178">
        <v>7.52</v>
      </c>
      <c r="G6" s="178">
        <v>1.64E-6</v>
      </c>
      <c r="H6" s="178">
        <v>0.32600000000000001</v>
      </c>
      <c r="L6" s="123" t="s">
        <v>552</v>
      </c>
      <c r="M6" s="11" t="s">
        <v>29</v>
      </c>
      <c r="N6" s="180">
        <f t="shared" ref="N6:N19" si="2">E6/$D6</f>
        <v>0</v>
      </c>
      <c r="O6" s="180">
        <f t="shared" si="0"/>
        <v>0.95844996535075933</v>
      </c>
      <c r="P6" s="180">
        <f t="shared" si="0"/>
        <v>2.0902366265628261E-7</v>
      </c>
      <c r="Q6" s="180">
        <f t="shared" si="0"/>
        <v>4.154982562557813E-2</v>
      </c>
      <c r="T6" s="181"/>
      <c r="AE6" s="287"/>
      <c r="AF6" s="15">
        <f t="shared" ref="AF6:AI6" si="3">AF5-AG5</f>
        <v>18.125771554416133</v>
      </c>
      <c r="AG6" s="15">
        <f t="shared" si="3"/>
        <v>50.905183858881571</v>
      </c>
      <c r="AH6" s="15">
        <f t="shared" si="3"/>
        <v>2.5251634240297562</v>
      </c>
      <c r="AI6" s="15">
        <f t="shared" si="3"/>
        <v>5.7679921599610111</v>
      </c>
      <c r="AJ6" s="15">
        <f>AJ5-AK5</f>
        <v>249.77588902641156</v>
      </c>
      <c r="AM6" s="287"/>
      <c r="AN6" s="15">
        <f t="shared" ref="AN6:AP6" si="4">AN5-AO5</f>
        <v>58.413220724542043</v>
      </c>
      <c r="AO6" s="15">
        <f t="shared" si="4"/>
        <v>2.8976013299999863</v>
      </c>
      <c r="AP6" s="15">
        <f t="shared" si="4"/>
        <v>6.6187168700000143</v>
      </c>
      <c r="AQ6" s="15">
        <f>AQ5-AR5</f>
        <v>286.61548847</v>
      </c>
    </row>
    <row r="7" spans="1:44" x14ac:dyDescent="0.25">
      <c r="B7" s="123" t="s">
        <v>553</v>
      </c>
      <c r="C7" s="11" t="s">
        <v>554</v>
      </c>
      <c r="D7" s="15">
        <f t="shared" si="1"/>
        <v>0.30740002199999999</v>
      </c>
      <c r="E7" s="178">
        <v>0</v>
      </c>
      <c r="F7" s="178">
        <v>0.29599999999999999</v>
      </c>
      <c r="G7" s="178">
        <v>2.1999999999999998E-8</v>
      </c>
      <c r="H7" s="178">
        <v>1.14E-2</v>
      </c>
      <c r="L7" s="123" t="s">
        <v>553</v>
      </c>
      <c r="M7" s="11" t="s">
        <v>29</v>
      </c>
      <c r="N7" s="180">
        <f t="shared" si="2"/>
        <v>0</v>
      </c>
      <c r="O7" s="180">
        <f t="shared" si="0"/>
        <v>0.96291470011670977</v>
      </c>
      <c r="P7" s="180">
        <f t="shared" si="0"/>
        <v>7.1567984468133832E-8</v>
      </c>
      <c r="Q7" s="180">
        <f t="shared" si="0"/>
        <v>3.7085228315305717E-2</v>
      </c>
      <c r="T7" s="181"/>
      <c r="AE7" s="123" t="s">
        <v>597</v>
      </c>
      <c r="AF7" s="182">
        <f>AF6/$AF$5</f>
        <v>5.5413548007040139E-2</v>
      </c>
      <c r="AG7" s="182">
        <f>AG6/$AF$5</f>
        <v>0.15562575314947488</v>
      </c>
      <c r="AH7" s="182">
        <f>AH6/$AF$5</f>
        <v>7.719851494487299E-3</v>
      </c>
      <c r="AI7" s="182">
        <f>AI6/$AF$5</f>
        <v>1.763372717683611E-2</v>
      </c>
      <c r="AJ7" s="182">
        <f>AJ6/$AF$5</f>
        <v>0.76360712017216159</v>
      </c>
      <c r="AK7" s="183">
        <f>SUM(AF7:AJ7)</f>
        <v>1</v>
      </c>
      <c r="AM7" s="123" t="s">
        <v>597</v>
      </c>
      <c r="AN7" s="174">
        <f>AN6/$AN$5</f>
        <v>0.16475543643583271</v>
      </c>
      <c r="AO7" s="174">
        <f t="shared" ref="AO7:AQ7" si="5">AO6/$AN$5</f>
        <v>8.1727315463812726E-3</v>
      </c>
      <c r="AP7" s="174">
        <f t="shared" si="5"/>
        <v>1.8668198278337791E-2</v>
      </c>
      <c r="AQ7" s="174">
        <f t="shared" si="5"/>
        <v>0.80840363373944824</v>
      </c>
      <c r="AR7" s="184">
        <f>SUM(AN7:AQ7)</f>
        <v>1</v>
      </c>
    </row>
    <row r="8" spans="1:44" x14ac:dyDescent="0.25">
      <c r="B8" s="123" t="s">
        <v>555</v>
      </c>
      <c r="C8" s="11" t="s">
        <v>556</v>
      </c>
      <c r="D8" s="15">
        <f t="shared" si="1"/>
        <v>6602.0150000000003</v>
      </c>
      <c r="E8" s="178">
        <v>0</v>
      </c>
      <c r="F8" s="178">
        <v>6450</v>
      </c>
      <c r="G8" s="178">
        <v>1.4999999999999999E-2</v>
      </c>
      <c r="H8" s="178">
        <v>152</v>
      </c>
      <c r="L8" s="123" t="s">
        <v>555</v>
      </c>
      <c r="M8" s="11" t="s">
        <v>29</v>
      </c>
      <c r="N8" s="180">
        <f t="shared" si="2"/>
        <v>0</v>
      </c>
      <c r="O8" s="180">
        <f t="shared" si="0"/>
        <v>0.97697445401138894</v>
      </c>
      <c r="P8" s="180">
        <f t="shared" si="0"/>
        <v>2.2720336139799742E-6</v>
      </c>
      <c r="Q8" s="180">
        <f t="shared" si="0"/>
        <v>2.3023273954997071E-2</v>
      </c>
      <c r="T8" s="181"/>
      <c r="AE8" s="287" t="s">
        <v>588</v>
      </c>
      <c r="AF8" s="178">
        <f>D103</f>
        <v>2.5134002419999998E-4</v>
      </c>
      <c r="AG8" s="178">
        <f>AN8*Calculations!$C$47</f>
        <v>2.4232582910297984E-4</v>
      </c>
      <c r="AH8" s="178">
        <f>AO8*Calculations!$C$47</f>
        <v>1.8326799128561764E-4</v>
      </c>
      <c r="AI8" s="178">
        <f>AP8*Calculations!$C$47</f>
        <v>1.8082980140952782E-4</v>
      </c>
      <c r="AJ8" s="178">
        <f>AQ8*Calculations!$C$47</f>
        <v>1.8076269846419257E-4</v>
      </c>
      <c r="AM8" s="287" t="s">
        <v>588</v>
      </c>
      <c r="AN8" s="178">
        <f>D111</f>
        <v>2.7806661462790005E-4</v>
      </c>
      <c r="AO8" s="178">
        <f>D119</f>
        <v>2.1029830000000001E-4</v>
      </c>
      <c r="AP8" s="178">
        <f>D127</f>
        <v>2.0750050000000001E-4</v>
      </c>
      <c r="AQ8" s="178">
        <f>D135</f>
        <v>2.0742349999999999E-4</v>
      </c>
    </row>
    <row r="9" spans="1:44" x14ac:dyDescent="0.25">
      <c r="B9" s="123" t="s">
        <v>557</v>
      </c>
      <c r="C9" s="11" t="s">
        <v>558</v>
      </c>
      <c r="D9" s="15">
        <f t="shared" si="1"/>
        <v>7.3850000000054406E-5</v>
      </c>
      <c r="E9" s="178">
        <v>0</v>
      </c>
      <c r="F9" s="178">
        <v>7.0500000000000006E-5</v>
      </c>
      <c r="G9" s="178">
        <v>5.44E-17</v>
      </c>
      <c r="H9" s="178">
        <v>3.3500000000000001E-6</v>
      </c>
      <c r="L9" s="123" t="s">
        <v>557</v>
      </c>
      <c r="M9" s="11" t="s">
        <v>29</v>
      </c>
      <c r="N9" s="180">
        <f t="shared" si="2"/>
        <v>0</v>
      </c>
      <c r="O9" s="180">
        <f t="shared" si="0"/>
        <v>0.95463777928162585</v>
      </c>
      <c r="P9" s="180">
        <f t="shared" si="0"/>
        <v>7.3662830060880058E-13</v>
      </c>
      <c r="Q9" s="180">
        <f t="shared" si="0"/>
        <v>4.5362220717637534E-2</v>
      </c>
      <c r="T9" s="181"/>
      <c r="AE9" s="287"/>
      <c r="AF9" s="178">
        <f t="shared" ref="AF9:AI9" si="6">AF8-AG8</f>
        <v>9.0141950970201419E-6</v>
      </c>
      <c r="AG9" s="178">
        <f t="shared" si="6"/>
        <v>5.90578378173622E-5</v>
      </c>
      <c r="AH9" s="178">
        <f t="shared" si="6"/>
        <v>2.4381898760898193E-6</v>
      </c>
      <c r="AI9" s="178">
        <f t="shared" si="6"/>
        <v>6.7102945335251142E-8</v>
      </c>
      <c r="AJ9" s="178">
        <f>AJ8-AK8</f>
        <v>1.8076269846419257E-4</v>
      </c>
      <c r="AM9" s="287"/>
      <c r="AN9" s="178">
        <f t="shared" ref="AN9:AP9" si="7">AN8-AO8</f>
        <v>6.7768314627900046E-5</v>
      </c>
      <c r="AO9" s="178">
        <f t="shared" si="7"/>
        <v>2.7977999999999955E-6</v>
      </c>
      <c r="AP9" s="178">
        <f t="shared" si="7"/>
        <v>7.7000000000019761E-8</v>
      </c>
      <c r="AQ9" s="178">
        <f>AQ8-AR8</f>
        <v>2.0742349999999999E-4</v>
      </c>
    </row>
    <row r="10" spans="1:44" ht="18" x14ac:dyDescent="0.25">
      <c r="B10" s="123" t="s">
        <v>559</v>
      </c>
      <c r="C10" s="11" t="s">
        <v>560</v>
      </c>
      <c r="D10" s="15">
        <f t="shared" si="1"/>
        <v>0.136330387</v>
      </c>
      <c r="E10" s="178">
        <v>0</v>
      </c>
      <c r="F10" s="178">
        <v>0.128</v>
      </c>
      <c r="G10" s="178">
        <v>3.8700000000000001E-7</v>
      </c>
      <c r="H10" s="178">
        <v>8.3300000000000006E-3</v>
      </c>
      <c r="L10" s="123" t="s">
        <v>559</v>
      </c>
      <c r="M10" s="11" t="s">
        <v>29</v>
      </c>
      <c r="N10" s="180">
        <f t="shared" si="2"/>
        <v>0</v>
      </c>
      <c r="O10" s="180">
        <f t="shared" si="0"/>
        <v>0.93889559632805863</v>
      </c>
      <c r="P10" s="180">
        <f t="shared" si="0"/>
        <v>2.8386921545231146E-6</v>
      </c>
      <c r="Q10" s="180">
        <f t="shared" si="0"/>
        <v>6.1101564979786943E-2</v>
      </c>
      <c r="T10" s="181"/>
      <c r="AE10" s="123" t="s">
        <v>597</v>
      </c>
      <c r="AF10" s="182">
        <f>AF9/$AF$8</f>
        <v>3.5864542966094544E-2</v>
      </c>
      <c r="AG10" s="182">
        <f>AG9/$AF$8</f>
        <v>0.23497187925138349</v>
      </c>
      <c r="AH10" s="182">
        <f>AH9/$AF$8</f>
        <v>9.7007624784410263E-3</v>
      </c>
      <c r="AI10" s="182">
        <f>AI9/$AF$8</f>
        <v>2.6698073873763535E-4</v>
      </c>
      <c r="AJ10" s="182">
        <f>AJ9/$AF$8</f>
        <v>0.71919583456534331</v>
      </c>
      <c r="AK10" s="183">
        <f>SUM(AF10:AJ10)</f>
        <v>1</v>
      </c>
      <c r="AM10" s="123" t="s">
        <v>597</v>
      </c>
      <c r="AN10" s="174">
        <f>AN9/$AN$8</f>
        <v>0.24371251729944446</v>
      </c>
      <c r="AO10" s="174">
        <f t="shared" ref="AO10:AQ10" si="8">AO9/$AN$8</f>
        <v>1.0061617802424512E-2</v>
      </c>
      <c r="AP10" s="174">
        <f t="shared" si="8"/>
        <v>2.7691206333079117E-4</v>
      </c>
      <c r="AQ10" s="174">
        <f t="shared" si="8"/>
        <v>0.74594895283480023</v>
      </c>
      <c r="AR10" s="184">
        <f>SUM(AN10:AQ10)</f>
        <v>1</v>
      </c>
    </row>
    <row r="11" spans="1:44" x14ac:dyDescent="0.25">
      <c r="B11" s="123" t="s">
        <v>561</v>
      </c>
      <c r="C11" s="11" t="s">
        <v>562</v>
      </c>
      <c r="D11" s="15">
        <f t="shared" si="1"/>
        <v>28700.698</v>
      </c>
      <c r="E11" s="178">
        <v>0</v>
      </c>
      <c r="F11" s="178">
        <v>27100</v>
      </c>
      <c r="G11" s="178">
        <v>0.69799999999999995</v>
      </c>
      <c r="H11" s="178">
        <v>1600</v>
      </c>
      <c r="L11" s="123" t="s">
        <v>561</v>
      </c>
      <c r="M11" s="11" t="s">
        <v>29</v>
      </c>
      <c r="N11" s="180">
        <f t="shared" si="2"/>
        <v>0</v>
      </c>
      <c r="O11" s="180">
        <f t="shared" si="0"/>
        <v>0.94422790693104397</v>
      </c>
      <c r="P11" s="180">
        <f t="shared" si="0"/>
        <v>2.4319966016157514E-5</v>
      </c>
      <c r="Q11" s="180">
        <f t="shared" si="0"/>
        <v>5.5747773102939865E-2</v>
      </c>
      <c r="T11" s="181"/>
      <c r="AE11" s="286" t="s">
        <v>590</v>
      </c>
      <c r="AF11" s="178">
        <f>D104</f>
        <v>137.40003719999999</v>
      </c>
      <c r="AG11" s="178">
        <f>AN11*Calculations!$C$47</f>
        <v>126.92846785006607</v>
      </c>
      <c r="AH11" s="178">
        <f>AO11*Calculations!$C$47</f>
        <v>109.69196306502656</v>
      </c>
      <c r="AI11" s="178">
        <f>AP11*Calculations!$C$47</f>
        <v>109.3405803305736</v>
      </c>
      <c r="AJ11" s="178">
        <f>AQ11*Calculations!$C$47</f>
        <v>108.30920935054195</v>
      </c>
      <c r="AM11" s="286" t="s">
        <v>590</v>
      </c>
      <c r="AN11" s="15">
        <f>D112</f>
        <v>145.64922561340001</v>
      </c>
      <c r="AO11" s="15">
        <f>D120</f>
        <v>125.87049814000001</v>
      </c>
      <c r="AP11" s="15">
        <f>D128</f>
        <v>125.46728975000001</v>
      </c>
      <c r="AQ11" s="15">
        <f>D136</f>
        <v>124.28380123000001</v>
      </c>
    </row>
    <row r="12" spans="1:44" x14ac:dyDescent="0.25">
      <c r="B12" s="123" t="s">
        <v>563</v>
      </c>
      <c r="C12" s="11" t="s">
        <v>564</v>
      </c>
      <c r="D12" s="15">
        <f t="shared" si="1"/>
        <v>14690.000147000001</v>
      </c>
      <c r="E12" s="178">
        <v>0</v>
      </c>
      <c r="F12" s="178">
        <v>13500</v>
      </c>
      <c r="G12" s="178">
        <v>1.47E-4</v>
      </c>
      <c r="H12" s="178">
        <v>1190</v>
      </c>
      <c r="L12" s="123" t="s">
        <v>563</v>
      </c>
      <c r="M12" s="11" t="s">
        <v>29</v>
      </c>
      <c r="N12" s="180">
        <f t="shared" si="2"/>
        <v>0</v>
      </c>
      <c r="O12" s="180">
        <f t="shared" si="0"/>
        <v>0.91899250271668487</v>
      </c>
      <c r="P12" s="180">
        <f t="shared" si="0"/>
        <v>1.0006807251803903E-8</v>
      </c>
      <c r="Q12" s="180">
        <f t="shared" si="0"/>
        <v>8.1007487276507778E-2</v>
      </c>
      <c r="T12" s="181"/>
      <c r="AE12" s="286"/>
      <c r="AF12" s="15">
        <f t="shared" ref="AF12:AI12" si="9">AF11-AG11</f>
        <v>10.471569349933915</v>
      </c>
      <c r="AG12" s="15">
        <f t="shared" si="9"/>
        <v>17.236504785039514</v>
      </c>
      <c r="AH12" s="15">
        <f t="shared" si="9"/>
        <v>0.35138273445295454</v>
      </c>
      <c r="AI12" s="15">
        <f t="shared" si="9"/>
        <v>1.0313709800316531</v>
      </c>
      <c r="AJ12" s="15">
        <f>AJ11-AK11</f>
        <v>108.30920935054195</v>
      </c>
      <c r="AM12" s="286"/>
      <c r="AN12" s="15">
        <f t="shared" ref="AN12:AP12" si="10">AN11-AO11</f>
        <v>19.778727473399996</v>
      </c>
      <c r="AO12" s="15">
        <f t="shared" si="10"/>
        <v>0.40320839000000319</v>
      </c>
      <c r="AP12" s="15">
        <f t="shared" si="10"/>
        <v>1.1834885199999974</v>
      </c>
      <c r="AQ12" s="15">
        <f>AQ11-AR11</f>
        <v>124.28380123000001</v>
      </c>
    </row>
    <row r="13" spans="1:44" ht="18" x14ac:dyDescent="0.25">
      <c r="B13" s="123" t="s">
        <v>565</v>
      </c>
      <c r="C13" s="11" t="s">
        <v>566</v>
      </c>
      <c r="D13" s="15">
        <f t="shared" si="1"/>
        <v>4.7600009500000002</v>
      </c>
      <c r="E13" s="178">
        <v>0</v>
      </c>
      <c r="F13" s="178">
        <v>4.5999999999999996</v>
      </c>
      <c r="G13" s="178">
        <v>9.5000000000000001E-7</v>
      </c>
      <c r="H13" s="178">
        <v>0.16</v>
      </c>
      <c r="L13" s="123" t="s">
        <v>565</v>
      </c>
      <c r="M13" s="11" t="s">
        <v>29</v>
      </c>
      <c r="N13" s="180">
        <f t="shared" si="2"/>
        <v>0</v>
      </c>
      <c r="O13" s="180">
        <f t="shared" si="0"/>
        <v>0.96638636175062098</v>
      </c>
      <c r="P13" s="180">
        <f t="shared" si="0"/>
        <v>1.9957979210067175E-7</v>
      </c>
      <c r="Q13" s="180">
        <f t="shared" si="0"/>
        <v>3.3613438669586819E-2</v>
      </c>
      <c r="T13" s="181"/>
      <c r="AE13" s="123" t="s">
        <v>597</v>
      </c>
      <c r="AF13" s="182">
        <f>AF12/$AF$11</f>
        <v>7.6212274489354484E-2</v>
      </c>
      <c r="AG13" s="182">
        <f>AG12/$AF$11</f>
        <v>0.12544759911491141</v>
      </c>
      <c r="AH13" s="182">
        <f>AH12/$AF$11</f>
        <v>2.5573700095981823E-3</v>
      </c>
      <c r="AI13" s="182">
        <f>AI12/$AF$11</f>
        <v>7.5063369781362271E-3</v>
      </c>
      <c r="AJ13" s="182">
        <f>AJ12/$AF$11</f>
        <v>0.78827641940799964</v>
      </c>
      <c r="AK13" s="183">
        <f>SUM(AF13:AJ13)</f>
        <v>1</v>
      </c>
      <c r="AM13" s="123" t="s">
        <v>597</v>
      </c>
      <c r="AN13" s="174">
        <f>AN12/$AN$11</f>
        <v>0.1357969971354267</v>
      </c>
      <c r="AO13" s="174">
        <f t="shared" ref="AO13:AQ13" si="11">AO12/$AN$11</f>
        <v>2.7683524461039584E-3</v>
      </c>
      <c r="AP13" s="174">
        <f t="shared" si="11"/>
        <v>8.1256080491725873E-3</v>
      </c>
      <c r="AQ13" s="174">
        <f t="shared" si="11"/>
        <v>0.85330904236929672</v>
      </c>
      <c r="AR13" s="184">
        <f>SUM(AN13:AQ13)</f>
        <v>1</v>
      </c>
    </row>
    <row r="14" spans="1:44" x14ac:dyDescent="0.25">
      <c r="B14" s="123" t="s">
        <v>567</v>
      </c>
      <c r="C14" s="11" t="s">
        <v>568</v>
      </c>
      <c r="D14" s="15">
        <f t="shared" si="1"/>
        <v>13.762</v>
      </c>
      <c r="E14" s="178">
        <v>0</v>
      </c>
      <c r="F14" s="178">
        <v>13.1</v>
      </c>
      <c r="G14" s="178">
        <v>0</v>
      </c>
      <c r="H14" s="178">
        <v>0.66200000000000003</v>
      </c>
      <c r="L14" s="123" t="s">
        <v>567</v>
      </c>
      <c r="M14" s="11" t="s">
        <v>29</v>
      </c>
      <c r="N14" s="180">
        <f t="shared" si="2"/>
        <v>0</v>
      </c>
      <c r="O14" s="180">
        <f t="shared" si="0"/>
        <v>0.95189652666763547</v>
      </c>
      <c r="P14" s="180">
        <f t="shared" si="0"/>
        <v>0</v>
      </c>
      <c r="Q14" s="180">
        <f t="shared" si="0"/>
        <v>4.8103473332364484E-2</v>
      </c>
      <c r="T14" s="181"/>
      <c r="AE14" s="287" t="s">
        <v>593</v>
      </c>
      <c r="AF14" s="178">
        <f>D106</f>
        <v>7429.15</v>
      </c>
      <c r="AG14" s="178">
        <f>AN14*Calculations!$C$47</f>
        <v>7128.2490730284662</v>
      </c>
      <c r="AH14" s="178">
        <f>AO14*Calculations!$C$47</f>
        <v>6497.2782190195239</v>
      </c>
      <c r="AI14" s="178">
        <f>AP14*Calculations!$C$47</f>
        <v>6445.8250991101613</v>
      </c>
      <c r="AJ14" s="178">
        <f>AQ14*Calculations!$C$47</f>
        <v>6283.7095210871821</v>
      </c>
      <c r="AM14" s="287" t="s">
        <v>593</v>
      </c>
      <c r="AN14" s="15">
        <f>D114</f>
        <v>8179.5989115100001</v>
      </c>
      <c r="AO14" s="15">
        <f>D122</f>
        <v>7455.5657783000006</v>
      </c>
      <c r="AP14" s="15">
        <f>D130</f>
        <v>7396.5238061000009</v>
      </c>
      <c r="AQ14" s="15">
        <f>D138</f>
        <v>7210.4977018000009</v>
      </c>
    </row>
    <row r="15" spans="1:44" ht="18" x14ac:dyDescent="0.25">
      <c r="B15" s="123" t="s">
        <v>569</v>
      </c>
      <c r="C15" s="11" t="s">
        <v>566</v>
      </c>
      <c r="D15" s="15">
        <f t="shared" si="1"/>
        <v>1.57460339</v>
      </c>
      <c r="E15" s="178">
        <v>0</v>
      </c>
      <c r="F15" s="178">
        <v>1.53</v>
      </c>
      <c r="G15" s="178">
        <v>3.3900000000000002E-6</v>
      </c>
      <c r="H15" s="178">
        <v>4.4600000000000001E-2</v>
      </c>
      <c r="L15" s="123" t="s">
        <v>569</v>
      </c>
      <c r="M15" s="11" t="s">
        <v>29</v>
      </c>
      <c r="N15" s="180">
        <f t="shared" si="2"/>
        <v>0</v>
      </c>
      <c r="O15" s="180">
        <f t="shared" si="0"/>
        <v>0.97167325417735828</v>
      </c>
      <c r="P15" s="180">
        <f t="shared" si="0"/>
        <v>2.1529230925890488E-6</v>
      </c>
      <c r="Q15" s="180">
        <f t="shared" si="0"/>
        <v>2.8324592899549136E-2</v>
      </c>
      <c r="T15" s="181"/>
      <c r="AE15" s="287"/>
      <c r="AF15" s="15">
        <f t="shared" ref="AF15:AI15" si="12">AF14-AG14</f>
        <v>300.90092697153341</v>
      </c>
      <c r="AG15" s="15">
        <f t="shared" si="12"/>
        <v>630.9708540089423</v>
      </c>
      <c r="AH15" s="15">
        <f t="shared" si="12"/>
        <v>51.453119909362613</v>
      </c>
      <c r="AI15" s="15">
        <f t="shared" si="12"/>
        <v>162.11557802297921</v>
      </c>
      <c r="AJ15" s="15">
        <f>AJ14-AK14</f>
        <v>6283.7095210871821</v>
      </c>
      <c r="AM15" s="287"/>
      <c r="AN15" s="15">
        <f t="shared" ref="AN15:AP15" si="13">AN14-AO14</f>
        <v>724.03313320999951</v>
      </c>
      <c r="AO15" s="15">
        <f t="shared" si="13"/>
        <v>59.041972199999691</v>
      </c>
      <c r="AP15" s="15">
        <f t="shared" si="13"/>
        <v>186.02610430000004</v>
      </c>
      <c r="AQ15" s="15">
        <f>AQ14-AR14</f>
        <v>7210.4977018000009</v>
      </c>
    </row>
    <row r="16" spans="1:44" ht="18" x14ac:dyDescent="0.25">
      <c r="B16" s="123" t="s">
        <v>570</v>
      </c>
      <c r="C16" s="11" t="s">
        <v>571</v>
      </c>
      <c r="D16" s="15">
        <f t="shared" si="1"/>
        <v>0.12121999999999999</v>
      </c>
      <c r="E16" s="178">
        <v>0</v>
      </c>
      <c r="F16" s="178">
        <v>0.11899999999999999</v>
      </c>
      <c r="G16" s="178">
        <v>0</v>
      </c>
      <c r="H16" s="178">
        <v>2.2200000000000002E-3</v>
      </c>
      <c r="L16" s="123" t="s">
        <v>570</v>
      </c>
      <c r="M16" s="11" t="s">
        <v>29</v>
      </c>
      <c r="N16" s="180">
        <f t="shared" si="2"/>
        <v>0</v>
      </c>
      <c r="O16" s="180">
        <f t="shared" si="0"/>
        <v>0.98168619039762417</v>
      </c>
      <c r="P16" s="180">
        <f t="shared" si="0"/>
        <v>0</v>
      </c>
      <c r="Q16" s="180">
        <f t="shared" si="0"/>
        <v>1.8313809602375847E-2</v>
      </c>
      <c r="T16" s="181"/>
      <c r="AE16" s="123" t="s">
        <v>597</v>
      </c>
      <c r="AF16" s="182">
        <f>AF15/$AF$14</f>
        <v>4.0502739475112688E-2</v>
      </c>
      <c r="AG16" s="182">
        <f>AG15/$AF$14</f>
        <v>8.493176931532441E-2</v>
      </c>
      <c r="AH16" s="182">
        <f>AH15/$AF$14</f>
        <v>6.9258421097114229E-3</v>
      </c>
      <c r="AI16" s="182">
        <f>AI15/$AF$14</f>
        <v>2.1821551324576732E-2</v>
      </c>
      <c r="AJ16" s="182">
        <f>AJ15/$AF$14</f>
        <v>0.84581809777527472</v>
      </c>
      <c r="AK16" s="183">
        <f>SUM(AF16:AJ16)</f>
        <v>1</v>
      </c>
      <c r="AM16" s="123" t="s">
        <v>597</v>
      </c>
      <c r="AN16" s="174">
        <f>AN15/$AN$14</f>
        <v>8.8516948207713386E-2</v>
      </c>
      <c r="AO16" s="174">
        <f t="shared" ref="AO16:AQ16" si="14">AO15/$AN$14</f>
        <v>7.21819894089406E-3</v>
      </c>
      <c r="AP16" s="174">
        <f t="shared" si="14"/>
        <v>2.2742692681206121E-2</v>
      </c>
      <c r="AQ16" s="174">
        <f t="shared" si="14"/>
        <v>0.88152216017018648</v>
      </c>
      <c r="AR16" s="184">
        <f>SUM(AN16:AQ16)</f>
        <v>1</v>
      </c>
    </row>
    <row r="17" spans="2:45" ht="18" x14ac:dyDescent="0.25">
      <c r="B17" s="171" t="s">
        <v>572</v>
      </c>
      <c r="C17" s="161" t="s">
        <v>573</v>
      </c>
      <c r="D17" s="185">
        <f>SUM(E17:J17)</f>
        <v>327.10000002370003</v>
      </c>
      <c r="E17" s="186">
        <v>0</v>
      </c>
      <c r="F17" s="186">
        <v>309</v>
      </c>
      <c r="G17" s="186">
        <v>2.37E-8</v>
      </c>
      <c r="H17" s="186">
        <v>18.100000000000001</v>
      </c>
      <c r="L17" s="187" t="s">
        <v>572</v>
      </c>
      <c r="M17" s="153" t="s">
        <v>29</v>
      </c>
      <c r="N17" s="188">
        <f t="shared" si="2"/>
        <v>0</v>
      </c>
      <c r="O17" s="188">
        <f t="shared" si="0"/>
        <v>0.94466523991932561</v>
      </c>
      <c r="P17" s="188">
        <f t="shared" si="0"/>
        <v>7.245490675109391E-11</v>
      </c>
      <c r="Q17" s="188">
        <f t="shared" si="0"/>
        <v>5.5334760008219401E-2</v>
      </c>
      <c r="T17" s="181"/>
    </row>
    <row r="18" spans="2:45" x14ac:dyDescent="0.25">
      <c r="B18" s="123" t="s">
        <v>574</v>
      </c>
      <c r="C18" s="11" t="s">
        <v>575</v>
      </c>
      <c r="D18" s="15">
        <f t="shared" si="1"/>
        <v>7418.03</v>
      </c>
      <c r="E18" s="178">
        <v>0</v>
      </c>
      <c r="F18" s="178">
        <v>7120</v>
      </c>
      <c r="G18" s="178">
        <v>2.0299999999999998</v>
      </c>
      <c r="H18" s="178">
        <v>296</v>
      </c>
      <c r="L18" s="123" t="s">
        <v>574</v>
      </c>
      <c r="M18" s="11" t="s">
        <v>29</v>
      </c>
      <c r="N18" s="180">
        <f t="shared" si="2"/>
        <v>0</v>
      </c>
      <c r="O18" s="180">
        <f t="shared" si="0"/>
        <v>0.95982356501658794</v>
      </c>
      <c r="P18" s="180">
        <f t="shared" si="0"/>
        <v>2.7365756137411143E-4</v>
      </c>
      <c r="Q18" s="180">
        <f t="shared" si="0"/>
        <v>3.9902777422037926E-2</v>
      </c>
      <c r="T18" s="181"/>
    </row>
    <row r="19" spans="2:45" x14ac:dyDescent="0.25">
      <c r="B19" s="123" t="s">
        <v>576</v>
      </c>
      <c r="C19" s="11" t="s">
        <v>577</v>
      </c>
      <c r="D19" s="15">
        <f t="shared" si="1"/>
        <v>10.286999999999999</v>
      </c>
      <c r="E19" s="178">
        <v>0</v>
      </c>
      <c r="F19" s="178">
        <v>9.8000000000000007</v>
      </c>
      <c r="G19" s="178">
        <v>0.12</v>
      </c>
      <c r="H19" s="178">
        <v>0.36699999999999999</v>
      </c>
      <c r="L19" s="123" t="s">
        <v>576</v>
      </c>
      <c r="M19" s="11" t="s">
        <v>29</v>
      </c>
      <c r="N19" s="180">
        <f t="shared" si="2"/>
        <v>0</v>
      </c>
      <c r="O19" s="180">
        <f t="shared" si="0"/>
        <v>0.9526586954408478</v>
      </c>
      <c r="P19" s="180">
        <f t="shared" si="0"/>
        <v>1.1665208515602217E-2</v>
      </c>
      <c r="Q19" s="180">
        <f t="shared" si="0"/>
        <v>3.5676096043550112E-2</v>
      </c>
      <c r="T19" s="181"/>
    </row>
    <row r="20" spans="2:45" x14ac:dyDescent="0.25">
      <c r="I20" s="194"/>
      <c r="J20" s="194"/>
    </row>
    <row r="21" spans="2:45" ht="17.25" x14ac:dyDescent="0.25">
      <c r="B21" s="282" t="s">
        <v>621</v>
      </c>
      <c r="C21" s="282"/>
      <c r="D21" s="282"/>
      <c r="E21" s="282"/>
      <c r="F21" s="282"/>
      <c r="G21" s="282"/>
      <c r="H21" s="282"/>
      <c r="I21" s="282"/>
      <c r="J21" s="282"/>
      <c r="K21" s="282"/>
      <c r="L21" s="282"/>
      <c r="M21" s="282"/>
      <c r="N21" s="282"/>
      <c r="O21" s="282"/>
      <c r="P21" s="282"/>
      <c r="Q21" s="282"/>
      <c r="R21" s="282"/>
      <c r="S21" s="282"/>
      <c r="T21" s="282"/>
      <c r="U21" s="282"/>
      <c r="V21" s="282"/>
      <c r="W21" s="282"/>
      <c r="X21" s="282"/>
      <c r="Y21" s="282"/>
    </row>
    <row r="23" spans="2:45" ht="30.95" customHeight="1" x14ac:dyDescent="0.25">
      <c r="B23" s="162" t="s">
        <v>547</v>
      </c>
      <c r="C23" s="162" t="s">
        <v>337</v>
      </c>
      <c r="D23" s="162" t="s">
        <v>213</v>
      </c>
      <c r="E23" s="162" t="s">
        <v>578</v>
      </c>
      <c r="F23" s="162" t="s">
        <v>218</v>
      </c>
      <c r="G23" s="162" t="s">
        <v>579</v>
      </c>
      <c r="H23" s="162" t="s">
        <v>316</v>
      </c>
      <c r="I23" s="162" t="s">
        <v>580</v>
      </c>
      <c r="J23" s="162" t="s">
        <v>581</v>
      </c>
      <c r="L23" s="122" t="s">
        <v>547</v>
      </c>
      <c r="M23" s="122" t="s">
        <v>337</v>
      </c>
      <c r="N23" s="162" t="s">
        <v>578</v>
      </c>
      <c r="O23" s="162" t="s">
        <v>218</v>
      </c>
      <c r="P23" s="162" t="s">
        <v>579</v>
      </c>
      <c r="Q23" s="162" t="s">
        <v>316</v>
      </c>
      <c r="R23" s="162" t="s">
        <v>580</v>
      </c>
      <c r="S23" s="162" t="s">
        <v>581</v>
      </c>
    </row>
    <row r="24" spans="2:45" ht="18" x14ac:dyDescent="0.25">
      <c r="B24" s="123" t="s">
        <v>550</v>
      </c>
      <c r="C24" s="11" t="s">
        <v>551</v>
      </c>
      <c r="D24" s="15">
        <f>SUM(E24:J24)</f>
        <v>5.0403268846299998</v>
      </c>
      <c r="E24" s="178">
        <f>D43</f>
        <v>4.1439760799999998</v>
      </c>
      <c r="F24" s="178">
        <v>0.87846139999999995</v>
      </c>
      <c r="G24" s="178">
        <v>0</v>
      </c>
      <c r="H24" s="178">
        <v>1.4629999999999999E-8</v>
      </c>
      <c r="I24" s="178">
        <v>1.3694E-4</v>
      </c>
      <c r="J24" s="178">
        <v>1.7752449999999999E-2</v>
      </c>
      <c r="L24" s="123" t="s">
        <v>550</v>
      </c>
      <c r="M24" s="11" t="s">
        <v>29</v>
      </c>
      <c r="N24" s="180">
        <f>E24/$D24</f>
        <v>0.82216415221732209</v>
      </c>
      <c r="O24" s="180">
        <f t="shared" ref="O24:S38" si="15">F24/$D24</f>
        <v>0.17428659293483226</v>
      </c>
      <c r="P24" s="180">
        <f t="shared" si="15"/>
        <v>0</v>
      </c>
      <c r="Q24" s="180">
        <f t="shared" si="15"/>
        <v>2.9025895214480636E-9</v>
      </c>
      <c r="R24" s="180">
        <f t="shared" si="15"/>
        <v>2.7168872800211744E-5</v>
      </c>
      <c r="S24" s="180">
        <f t="shared" si="15"/>
        <v>3.5220830724559584E-3</v>
      </c>
      <c r="T24" s="181"/>
    </row>
    <row r="25" spans="2:45" ht="18" x14ac:dyDescent="0.25">
      <c r="B25" s="123" t="s">
        <v>552</v>
      </c>
      <c r="C25" s="11" t="s">
        <v>551</v>
      </c>
      <c r="D25" s="15">
        <f t="shared" ref="D25:D38" si="16">SUM(E25:J25)</f>
        <v>8.6184906533200003</v>
      </c>
      <c r="E25" s="178">
        <f t="shared" ref="E25:E38" si="17">D44</f>
        <v>4.6856348900000002</v>
      </c>
      <c r="F25" s="178">
        <v>3.9256016200000001</v>
      </c>
      <c r="G25" s="178">
        <v>0</v>
      </c>
      <c r="H25" s="178">
        <v>3.1332E-7</v>
      </c>
      <c r="I25" s="178">
        <v>5.5433000000000001E-4</v>
      </c>
      <c r="J25" s="178">
        <v>6.6994999999999997E-3</v>
      </c>
      <c r="L25" s="123" t="s">
        <v>552</v>
      </c>
      <c r="M25" s="11" t="s">
        <v>29</v>
      </c>
      <c r="N25" s="180">
        <f t="shared" ref="N25:N38" si="18">E25/$D25</f>
        <v>0.54367232946931465</v>
      </c>
      <c r="O25" s="180">
        <f t="shared" si="15"/>
        <v>0.45548597520237333</v>
      </c>
      <c r="P25" s="180">
        <f t="shared" si="15"/>
        <v>0</v>
      </c>
      <c r="Q25" s="180">
        <f t="shared" si="15"/>
        <v>3.6354393431906016E-8</v>
      </c>
      <c r="R25" s="180">
        <f t="shared" si="15"/>
        <v>6.4318686681694311E-5</v>
      </c>
      <c r="S25" s="180">
        <f t="shared" si="15"/>
        <v>7.7734028723686435E-4</v>
      </c>
      <c r="T25" s="181"/>
      <c r="AS25" s="128" t="s">
        <v>572</v>
      </c>
    </row>
    <row r="26" spans="2:45" x14ac:dyDescent="0.25">
      <c r="B26" s="123" t="s">
        <v>553</v>
      </c>
      <c r="C26" s="11" t="s">
        <v>554</v>
      </c>
      <c r="D26" s="15">
        <f t="shared" si="16"/>
        <v>0.33974626421149995</v>
      </c>
      <c r="E26" s="178">
        <f t="shared" si="17"/>
        <v>0.26243210999999994</v>
      </c>
      <c r="F26" s="178">
        <v>7.4588920000000003E-2</v>
      </c>
      <c r="G26" s="178">
        <v>1.9337E-4</v>
      </c>
      <c r="H26" s="178">
        <v>4.2115000000000002E-9</v>
      </c>
      <c r="I26" s="178">
        <v>1.0337199999999999E-3</v>
      </c>
      <c r="J26" s="178">
        <v>1.49814E-3</v>
      </c>
      <c r="L26" s="123" t="s">
        <v>553</v>
      </c>
      <c r="M26" s="11" t="s">
        <v>29</v>
      </c>
      <c r="N26" s="180">
        <f t="shared" si="18"/>
        <v>0.77243560163660796</v>
      </c>
      <c r="O26" s="180">
        <f t="shared" si="15"/>
        <v>0.21954301741362686</v>
      </c>
      <c r="P26" s="180">
        <f t="shared" si="15"/>
        <v>5.6916004786331561E-4</v>
      </c>
      <c r="Q26" s="180">
        <f t="shared" si="15"/>
        <v>1.2396015625879681E-8</v>
      </c>
      <c r="R26" s="180">
        <f t="shared" si="15"/>
        <v>3.0426235955798037E-3</v>
      </c>
      <c r="S26" s="180">
        <f t="shared" si="15"/>
        <v>4.4095849103063956E-3</v>
      </c>
      <c r="T26" s="181"/>
      <c r="AS26" s="128" t="s">
        <v>588</v>
      </c>
    </row>
    <row r="27" spans="2:45" x14ac:dyDescent="0.25">
      <c r="B27" s="123" t="s">
        <v>555</v>
      </c>
      <c r="C27" s="11" t="s">
        <v>556</v>
      </c>
      <c r="D27" s="15">
        <f t="shared" si="16"/>
        <v>10101.771254650001</v>
      </c>
      <c r="E27" s="178">
        <f t="shared" si="17"/>
        <v>9668.5023259000009</v>
      </c>
      <c r="F27" s="178">
        <v>378.77173499999998</v>
      </c>
      <c r="G27" s="178">
        <v>0</v>
      </c>
      <c r="H27" s="178">
        <v>2.87587E-3</v>
      </c>
      <c r="I27" s="178">
        <v>0.99299488000000002</v>
      </c>
      <c r="J27" s="178">
        <v>53.501322999999999</v>
      </c>
      <c r="L27" s="123" t="s">
        <v>555</v>
      </c>
      <c r="M27" s="11" t="s">
        <v>29</v>
      </c>
      <c r="N27" s="180">
        <f t="shared" si="18"/>
        <v>0.95710960802536893</v>
      </c>
      <c r="O27" s="180">
        <f t="shared" si="15"/>
        <v>3.7495576315455123E-2</v>
      </c>
      <c r="P27" s="180">
        <f t="shared" si="15"/>
        <v>0</v>
      </c>
      <c r="Q27" s="180">
        <f t="shared" si="15"/>
        <v>2.8468967743416213E-7</v>
      </c>
      <c r="R27" s="180">
        <f t="shared" si="15"/>
        <v>9.8299085870006135E-5</v>
      </c>
      <c r="S27" s="180">
        <f t="shared" si="15"/>
        <v>5.2962318836285785E-3</v>
      </c>
      <c r="T27" s="181"/>
      <c r="AS27" s="128" t="s">
        <v>590</v>
      </c>
    </row>
    <row r="28" spans="2:45" x14ac:dyDescent="0.25">
      <c r="B28" s="123" t="s">
        <v>557</v>
      </c>
      <c r="C28" s="11" t="s">
        <v>558</v>
      </c>
      <c r="D28" s="15">
        <f t="shared" si="16"/>
        <v>8.0816315200010413E-5</v>
      </c>
      <c r="E28" s="178">
        <f t="shared" si="17"/>
        <v>7.5973260000000004E-5</v>
      </c>
      <c r="F28" s="178">
        <v>4.6820999999999996E-6</v>
      </c>
      <c r="G28" s="178">
        <v>0</v>
      </c>
      <c r="H28" s="178">
        <v>1.0402999999999999E-17</v>
      </c>
      <c r="I28" s="178">
        <v>2.2652E-9</v>
      </c>
      <c r="J28" s="178">
        <v>1.5869E-7</v>
      </c>
      <c r="L28" s="123" t="s">
        <v>557</v>
      </c>
      <c r="M28" s="11" t="s">
        <v>29</v>
      </c>
      <c r="N28" s="180">
        <f t="shared" si="18"/>
        <v>0.94007329846672116</v>
      </c>
      <c r="O28" s="180">
        <f t="shared" si="15"/>
        <v>5.7935083880184091E-2</v>
      </c>
      <c r="P28" s="180">
        <f t="shared" si="15"/>
        <v>0</v>
      </c>
      <c r="Q28" s="180">
        <f t="shared" si="15"/>
        <v>1.2872400794633927E-13</v>
      </c>
      <c r="R28" s="180">
        <f t="shared" si="15"/>
        <v>2.8028993828707846E-5</v>
      </c>
      <c r="S28" s="180">
        <f t="shared" si="15"/>
        <v>1.9635886591372275E-3</v>
      </c>
      <c r="T28" s="181"/>
      <c r="AS28" s="128" t="s">
        <v>593</v>
      </c>
    </row>
    <row r="29" spans="2:45" ht="18" x14ac:dyDescent="0.25">
      <c r="B29" s="123" t="s">
        <v>559</v>
      </c>
      <c r="C29" s="11" t="s">
        <v>560</v>
      </c>
      <c r="D29" s="15">
        <f t="shared" si="16"/>
        <v>0.14690912403400003</v>
      </c>
      <c r="E29" s="178">
        <f t="shared" si="17"/>
        <v>0.13278728000000001</v>
      </c>
      <c r="F29" s="178">
        <v>1.102714E-2</v>
      </c>
      <c r="G29" s="178">
        <v>8.8540000000000005E-4</v>
      </c>
      <c r="H29" s="178">
        <v>7.4034E-8</v>
      </c>
      <c r="I29" s="178">
        <v>2.07245E-3</v>
      </c>
      <c r="J29" s="178">
        <v>1.3678E-4</v>
      </c>
      <c r="L29" s="123" t="s">
        <v>559</v>
      </c>
      <c r="M29" s="11" t="s">
        <v>29</v>
      </c>
      <c r="N29" s="180">
        <f t="shared" si="18"/>
        <v>0.90387360807670647</v>
      </c>
      <c r="O29" s="180">
        <f t="shared" si="15"/>
        <v>7.5060960798104856E-2</v>
      </c>
      <c r="P29" s="180">
        <f t="shared" si="15"/>
        <v>6.0268550767145464E-3</v>
      </c>
      <c r="Q29" s="180">
        <f t="shared" si="15"/>
        <v>5.0394419330188017E-7</v>
      </c>
      <c r="R29" s="180">
        <f t="shared" si="15"/>
        <v>1.4107020334015204E-2</v>
      </c>
      <c r="S29" s="180">
        <f t="shared" si="15"/>
        <v>9.3105177026543446E-4</v>
      </c>
      <c r="T29" s="181"/>
    </row>
    <row r="30" spans="2:45" x14ac:dyDescent="0.25">
      <c r="B30" s="123" t="s">
        <v>561</v>
      </c>
      <c r="C30" s="11" t="s">
        <v>562</v>
      </c>
      <c r="D30" s="15">
        <f t="shared" si="16"/>
        <v>31093.3419006392</v>
      </c>
      <c r="E30" s="178">
        <f t="shared" si="17"/>
        <v>26811.136864</v>
      </c>
      <c r="F30" s="178">
        <v>4219.3481300000003</v>
      </c>
      <c r="G30" s="178">
        <v>1.6391999999999999E-6</v>
      </c>
      <c r="H30" s="178">
        <v>0.13349721000000001</v>
      </c>
      <c r="I30" s="178">
        <v>0.57000578999999996</v>
      </c>
      <c r="J30" s="178">
        <v>62.153402</v>
      </c>
      <c r="L30" s="123" t="s">
        <v>561</v>
      </c>
      <c r="M30" s="11" t="s">
        <v>29</v>
      </c>
      <c r="N30" s="180">
        <f t="shared" si="18"/>
        <v>0.86227903548215357</v>
      </c>
      <c r="O30" s="180">
        <f t="shared" si="15"/>
        <v>0.13569940932959867</v>
      </c>
      <c r="P30" s="180">
        <f t="shared" si="15"/>
        <v>5.2718681872092437E-11</v>
      </c>
      <c r="Q30" s="180">
        <f t="shared" si="15"/>
        <v>4.2934339585175193E-6</v>
      </c>
      <c r="R30" s="180">
        <f t="shared" si="15"/>
        <v>1.8332085107528504E-5</v>
      </c>
      <c r="S30" s="180">
        <f t="shared" si="15"/>
        <v>1.9989296164630759E-3</v>
      </c>
      <c r="T30" s="181"/>
    </row>
    <row r="31" spans="2:45" x14ac:dyDescent="0.25">
      <c r="B31" s="123" t="s">
        <v>563</v>
      </c>
      <c r="C31" s="11" t="s">
        <v>564</v>
      </c>
      <c r="D31" s="15">
        <f t="shared" si="16"/>
        <v>15503.384438131798</v>
      </c>
      <c r="E31" s="178">
        <f t="shared" si="17"/>
        <v>14134.871373099999</v>
      </c>
      <c r="F31" s="178">
        <v>1352.92813</v>
      </c>
      <c r="G31" s="178">
        <v>6.4938000000000004E-6</v>
      </c>
      <c r="H31" s="178">
        <v>2.8178E-5</v>
      </c>
      <c r="I31" s="178">
        <v>0.72918685999999999</v>
      </c>
      <c r="J31" s="178">
        <v>14.8557135</v>
      </c>
      <c r="L31" s="123" t="s">
        <v>563</v>
      </c>
      <c r="M31" s="11" t="s">
        <v>29</v>
      </c>
      <c r="N31" s="180">
        <f t="shared" si="18"/>
        <v>0.9117281087563156</v>
      </c>
      <c r="O31" s="180">
        <f t="shared" si="15"/>
        <v>8.7266631063625463E-2</v>
      </c>
      <c r="P31" s="180">
        <f t="shared" si="15"/>
        <v>4.1886337953588938E-10</v>
      </c>
      <c r="Q31" s="180">
        <f t="shared" si="15"/>
        <v>1.8175386227728434E-9</v>
      </c>
      <c r="R31" s="180">
        <f t="shared" si="15"/>
        <v>4.7034043625113712E-5</v>
      </c>
      <c r="S31" s="180">
        <f t="shared" si="15"/>
        <v>9.5822390003186665E-4</v>
      </c>
      <c r="T31" s="181"/>
    </row>
    <row r="32" spans="2:45" ht="18.75" thickBot="1" x14ac:dyDescent="0.3">
      <c r="B32" s="123" t="s">
        <v>565</v>
      </c>
      <c r="C32" s="11" t="s">
        <v>566</v>
      </c>
      <c r="D32" s="15">
        <f t="shared" si="16"/>
        <v>5.2818305316699998</v>
      </c>
      <c r="E32" s="178">
        <f t="shared" si="17"/>
        <v>4.1035095399999992</v>
      </c>
      <c r="F32" s="178">
        <v>1.1252619100000001</v>
      </c>
      <c r="G32" s="178">
        <v>2.47912E-3</v>
      </c>
      <c r="H32" s="178">
        <v>1.8167000000000001E-7</v>
      </c>
      <c r="I32" s="178">
        <v>2.7223299999999999E-2</v>
      </c>
      <c r="J32" s="178">
        <v>2.3356479999999999E-2</v>
      </c>
      <c r="L32" s="123" t="s">
        <v>565</v>
      </c>
      <c r="M32" s="11" t="s">
        <v>29</v>
      </c>
      <c r="N32" s="180">
        <f t="shared" si="18"/>
        <v>0.77691048877756375</v>
      </c>
      <c r="O32" s="180">
        <f t="shared" si="15"/>
        <v>0.21304392544457817</v>
      </c>
      <c r="P32" s="180">
        <f t="shared" si="15"/>
        <v>4.6936757723200866E-4</v>
      </c>
      <c r="Q32" s="180">
        <f t="shared" si="15"/>
        <v>3.4395272417526791E-8</v>
      </c>
      <c r="R32" s="180">
        <f t="shared" si="15"/>
        <v>5.1541411328455827E-3</v>
      </c>
      <c r="S32" s="180">
        <f t="shared" si="15"/>
        <v>4.4220426725079323E-3</v>
      </c>
      <c r="T32" s="181"/>
    </row>
    <row r="33" spans="2:43" ht="18" thickBot="1" x14ac:dyDescent="0.3">
      <c r="B33" s="123" t="s">
        <v>567</v>
      </c>
      <c r="C33" s="11" t="s">
        <v>568</v>
      </c>
      <c r="D33" s="15">
        <f t="shared" si="16"/>
        <v>14.977125950000003</v>
      </c>
      <c r="E33" s="178">
        <f t="shared" si="17"/>
        <v>8.0841271600000013</v>
      </c>
      <c r="F33" s="178">
        <v>6.8756502800000003</v>
      </c>
      <c r="G33" s="178">
        <v>0</v>
      </c>
      <c r="H33" s="178">
        <v>0</v>
      </c>
      <c r="I33" s="178">
        <v>1.0483000000000001E-3</v>
      </c>
      <c r="J33" s="178">
        <v>1.6300209999999999E-2</v>
      </c>
      <c r="L33" s="123" t="s">
        <v>567</v>
      </c>
      <c r="M33" s="11" t="s">
        <v>29</v>
      </c>
      <c r="N33" s="180">
        <f t="shared" si="18"/>
        <v>0.53976491798147697</v>
      </c>
      <c r="O33" s="180">
        <f t="shared" si="15"/>
        <v>0.45907674829962947</v>
      </c>
      <c r="P33" s="180">
        <f t="shared" si="15"/>
        <v>0</v>
      </c>
      <c r="Q33" s="180">
        <f t="shared" si="15"/>
        <v>0</v>
      </c>
      <c r="R33" s="180">
        <f t="shared" si="15"/>
        <v>6.9993402172063588E-5</v>
      </c>
      <c r="S33" s="180">
        <f t="shared" si="15"/>
        <v>1.0883403167214465E-3</v>
      </c>
      <c r="T33" s="181"/>
      <c r="AF33" s="279" t="s">
        <v>609</v>
      </c>
      <c r="AG33" s="280"/>
      <c r="AH33" s="280"/>
      <c r="AI33" s="280"/>
      <c r="AJ33" s="281"/>
      <c r="AN33" s="279" t="s">
        <v>610</v>
      </c>
      <c r="AO33" s="280"/>
      <c r="AP33" s="280"/>
      <c r="AQ33" s="281"/>
    </row>
    <row r="34" spans="2:43" ht="18" x14ac:dyDescent="0.25">
      <c r="B34" s="123" t="s">
        <v>569</v>
      </c>
      <c r="C34" s="11" t="s">
        <v>566</v>
      </c>
      <c r="D34" s="15">
        <f t="shared" si="16"/>
        <v>1.7602749482399997</v>
      </c>
      <c r="E34" s="178">
        <f t="shared" si="17"/>
        <v>1.3214358099999999</v>
      </c>
      <c r="F34" s="178">
        <v>0.42059669999999999</v>
      </c>
      <c r="G34" s="178">
        <v>2.47912E-3</v>
      </c>
      <c r="H34" s="178">
        <v>6.4824000000000004E-7</v>
      </c>
      <c r="I34" s="178">
        <v>7.7548499999999998E-3</v>
      </c>
      <c r="J34" s="178">
        <v>8.0078200000000006E-3</v>
      </c>
      <c r="L34" s="123" t="s">
        <v>569</v>
      </c>
      <c r="M34" s="11" t="s">
        <v>29</v>
      </c>
      <c r="N34" s="180">
        <f t="shared" si="18"/>
        <v>0.75069852656894853</v>
      </c>
      <c r="O34" s="180">
        <f t="shared" si="15"/>
        <v>0.23893807068068035</v>
      </c>
      <c r="P34" s="180">
        <f t="shared" si="15"/>
        <v>1.4083708925578548E-3</v>
      </c>
      <c r="Q34" s="180">
        <f t="shared" si="15"/>
        <v>3.6826065192153015E-7</v>
      </c>
      <c r="R34" s="180">
        <f t="shared" si="15"/>
        <v>4.4054765465779307E-3</v>
      </c>
      <c r="S34" s="180">
        <f t="shared" si="15"/>
        <v>4.5491870505835301E-3</v>
      </c>
      <c r="T34" s="181"/>
    </row>
    <row r="35" spans="2:43" ht="30" x14ac:dyDescent="0.25">
      <c r="B35" s="123" t="s">
        <v>570</v>
      </c>
      <c r="C35" s="11" t="s">
        <v>571</v>
      </c>
      <c r="D35" s="15">
        <f t="shared" si="16"/>
        <v>0.13629439269999999</v>
      </c>
      <c r="E35" s="178">
        <f t="shared" si="17"/>
        <v>4.9625869999999996E-2</v>
      </c>
      <c r="F35" s="178">
        <v>7.4828389999999995E-2</v>
      </c>
      <c r="G35" s="178">
        <v>1.168728E-2</v>
      </c>
      <c r="H35" s="178">
        <v>0</v>
      </c>
      <c r="I35" s="178">
        <v>1.7927E-6</v>
      </c>
      <c r="J35" s="178">
        <v>1.5106000000000001E-4</v>
      </c>
      <c r="L35" s="123" t="s">
        <v>570</v>
      </c>
      <c r="M35" s="11" t="s">
        <v>29</v>
      </c>
      <c r="N35" s="180">
        <f t="shared" si="18"/>
        <v>0.36410793589456303</v>
      </c>
      <c r="O35" s="180">
        <f t="shared" si="15"/>
        <v>0.54902031197061862</v>
      </c>
      <c r="P35" s="180">
        <f t="shared" si="15"/>
        <v>8.5750262857292148E-2</v>
      </c>
      <c r="Q35" s="180">
        <f t="shared" si="15"/>
        <v>0</v>
      </c>
      <c r="R35" s="180">
        <f t="shared" si="15"/>
        <v>1.3153145661288825E-5</v>
      </c>
      <c r="S35" s="180">
        <f t="shared" si="15"/>
        <v>1.1083361318649466E-3</v>
      </c>
      <c r="T35" s="181"/>
      <c r="AF35" s="162" t="s">
        <v>615</v>
      </c>
      <c r="AG35" s="162" t="s">
        <v>548</v>
      </c>
      <c r="AH35" s="162" t="s">
        <v>578</v>
      </c>
      <c r="AI35" s="162" t="s">
        <v>583</v>
      </c>
      <c r="AJ35" s="162" t="s">
        <v>596</v>
      </c>
      <c r="AN35" s="162" t="s">
        <v>548</v>
      </c>
      <c r="AO35" s="162" t="s">
        <v>578</v>
      </c>
      <c r="AP35" s="162" t="s">
        <v>583</v>
      </c>
      <c r="AQ35" s="162" t="s">
        <v>596</v>
      </c>
    </row>
    <row r="36" spans="2:43" ht="18" x14ac:dyDescent="0.25">
      <c r="B36" s="171" t="s">
        <v>572</v>
      </c>
      <c r="C36" s="161" t="s">
        <v>573</v>
      </c>
      <c r="D36" s="185">
        <f t="shared" si="16"/>
        <v>354.54502739454205</v>
      </c>
      <c r="E36" s="186">
        <f t="shared" si="17"/>
        <v>296.13180667</v>
      </c>
      <c r="F36" s="186">
        <v>48.431099799999998</v>
      </c>
      <c r="G36" s="186">
        <v>2.1249600000000002</v>
      </c>
      <c r="H36" s="186">
        <v>4.5420999999999999E-9</v>
      </c>
      <c r="I36" s="186">
        <v>6.68803503</v>
      </c>
      <c r="J36" s="186">
        <v>1.1691258899999999</v>
      </c>
      <c r="L36" s="187" t="s">
        <v>572</v>
      </c>
      <c r="M36" s="153" t="s">
        <v>29</v>
      </c>
      <c r="N36" s="188">
        <f t="shared" si="18"/>
        <v>0.83524456356416732</v>
      </c>
      <c r="O36" s="188">
        <f t="shared" si="15"/>
        <v>0.13660070247186198</v>
      </c>
      <c r="P36" s="188">
        <f t="shared" si="15"/>
        <v>5.9934841439344706E-3</v>
      </c>
      <c r="Q36" s="188">
        <f t="shared" si="15"/>
        <v>1.2811066716627491E-11</v>
      </c>
      <c r="R36" s="188">
        <f t="shared" si="15"/>
        <v>1.8863711272863157E-2</v>
      </c>
      <c r="S36" s="188">
        <f t="shared" si="15"/>
        <v>3.2975385343621878E-3</v>
      </c>
      <c r="T36" s="181"/>
      <c r="AE36" s="286" t="str">
        <f>$B$24</f>
        <v>Carcinogens</v>
      </c>
      <c r="AF36" s="15">
        <f>D5</f>
        <v>4.5340000764999999</v>
      </c>
      <c r="AG36" s="15">
        <f>AN36*Calculations!$C$47</f>
        <v>4.3924776546887685</v>
      </c>
      <c r="AH36" s="15">
        <f>AO36*Calculations!$C$47</f>
        <v>3.6113376671007229</v>
      </c>
      <c r="AI36" s="15">
        <f>AP36*Calculations!$C$47</f>
        <v>3.5729946258320955</v>
      </c>
      <c r="AJ36" s="15">
        <f>AQ36*Calculations!$C$47</f>
        <v>3.5209060690916392</v>
      </c>
      <c r="AM36" s="286" t="str">
        <f>$B$24</f>
        <v>Carcinogens</v>
      </c>
      <c r="AN36" s="15">
        <f>D24</f>
        <v>5.0403268846299998</v>
      </c>
      <c r="AO36" s="15">
        <f>D43</f>
        <v>4.1439760799999998</v>
      </c>
      <c r="AP36" s="15">
        <f>D62</f>
        <v>4.0999777999999996</v>
      </c>
      <c r="AQ36" s="15">
        <f>D81</f>
        <v>4.0402066699999999</v>
      </c>
    </row>
    <row r="37" spans="2:43" x14ac:dyDescent="0.25">
      <c r="B37" s="123" t="s">
        <v>574</v>
      </c>
      <c r="C37" s="11" t="s">
        <v>575</v>
      </c>
      <c r="D37" s="15">
        <f t="shared" si="16"/>
        <v>8172.6106436200007</v>
      </c>
      <c r="E37" s="178">
        <f t="shared" si="17"/>
        <v>7454.1778172000004</v>
      </c>
      <c r="F37" s="178">
        <v>556.53892299999995</v>
      </c>
      <c r="G37" s="178">
        <v>24.7912</v>
      </c>
      <c r="H37" s="178">
        <v>0.38869322000000001</v>
      </c>
      <c r="I37" s="178">
        <v>112.90500299999999</v>
      </c>
      <c r="J37" s="178">
        <v>23.8090072</v>
      </c>
      <c r="L37" s="123" t="s">
        <v>574</v>
      </c>
      <c r="M37" s="11" t="s">
        <v>29</v>
      </c>
      <c r="N37" s="180">
        <f t="shared" si="18"/>
        <v>0.91209261547522158</v>
      </c>
      <c r="O37" s="180">
        <f t="shared" si="15"/>
        <v>6.8098059147656265E-2</v>
      </c>
      <c r="P37" s="180">
        <f t="shared" si="15"/>
        <v>3.0334492955875004E-3</v>
      </c>
      <c r="Q37" s="180">
        <f t="shared" si="15"/>
        <v>4.7560472038813668E-5</v>
      </c>
      <c r="R37" s="180">
        <f t="shared" si="15"/>
        <v>1.3815047348198337E-2</v>
      </c>
      <c r="S37" s="180">
        <f t="shared" si="15"/>
        <v>2.9132682612974655E-3</v>
      </c>
      <c r="T37" s="181"/>
      <c r="AE37" s="286"/>
      <c r="AF37" s="15">
        <f>AF36-AG36</f>
        <v>0.14152242181123142</v>
      </c>
      <c r="AG37" s="15">
        <f>AG36-AH36</f>
        <v>0.78113998758804559</v>
      </c>
      <c r="AH37" s="15">
        <f t="shared" ref="AH37:AJ37" si="19">AH36-AI36</f>
        <v>3.834304126862742E-2</v>
      </c>
      <c r="AI37" s="15">
        <f t="shared" si="19"/>
        <v>5.2088556740456315E-2</v>
      </c>
      <c r="AJ37" s="15">
        <f t="shared" si="19"/>
        <v>3.5209060690916392</v>
      </c>
      <c r="AM37" s="286"/>
      <c r="AN37" s="15">
        <f>AN36-AO36</f>
        <v>0.89635080462999994</v>
      </c>
      <c r="AO37" s="15">
        <f t="shared" ref="AO37:AQ37" si="20">AO36-AP36</f>
        <v>4.3998280000000278E-2</v>
      </c>
      <c r="AP37" s="15">
        <f t="shared" si="20"/>
        <v>5.9771129999999673E-2</v>
      </c>
      <c r="AQ37" s="15">
        <f t="shared" si="20"/>
        <v>4.0402066699999999</v>
      </c>
    </row>
    <row r="38" spans="2:43" ht="30" x14ac:dyDescent="0.25">
      <c r="B38" s="123" t="s">
        <v>576</v>
      </c>
      <c r="C38" s="11" t="s">
        <v>577</v>
      </c>
      <c r="D38" s="15">
        <f t="shared" si="16"/>
        <v>11.277268779999998</v>
      </c>
      <c r="E38" s="178">
        <f t="shared" si="17"/>
        <v>5.6769621699999995</v>
      </c>
      <c r="F38" s="178">
        <v>5.5635632599999996</v>
      </c>
      <c r="G38" s="178">
        <v>0</v>
      </c>
      <c r="H38" s="178">
        <v>2.3045179999999998E-2</v>
      </c>
      <c r="I38" s="178">
        <v>4.1555999999999999E-4</v>
      </c>
      <c r="J38" s="178">
        <v>1.328261E-2</v>
      </c>
      <c r="L38" s="123" t="s">
        <v>576</v>
      </c>
      <c r="M38" s="11" t="s">
        <v>29</v>
      </c>
      <c r="N38" s="180">
        <f t="shared" si="18"/>
        <v>0.50339867575631203</v>
      </c>
      <c r="O38" s="180">
        <f t="shared" si="15"/>
        <v>0.49334314615847974</v>
      </c>
      <c r="P38" s="180">
        <f t="shared" si="15"/>
        <v>0</v>
      </c>
      <c r="Q38" s="180">
        <f t="shared" si="15"/>
        <v>2.0435072045875279E-3</v>
      </c>
      <c r="R38" s="180">
        <f t="shared" si="15"/>
        <v>3.6849347843600839E-5</v>
      </c>
      <c r="S38" s="180">
        <f t="shared" si="15"/>
        <v>1.1778215327771944E-3</v>
      </c>
      <c r="T38" s="181"/>
      <c r="AE38" s="123" t="s">
        <v>597</v>
      </c>
      <c r="AF38" s="174">
        <f>AF37/$AF36</f>
        <v>3.121359052125976E-2</v>
      </c>
      <c r="AG38" s="174">
        <f t="shared" ref="AG38:AJ38" si="21">AG37/$AF36</f>
        <v>0.17228495244998826</v>
      </c>
      <c r="AH38" s="174">
        <f t="shared" si="21"/>
        <v>8.4567800224269411E-3</v>
      </c>
      <c r="AI38" s="174">
        <f t="shared" si="21"/>
        <v>1.1488433141065546E-2</v>
      </c>
      <c r="AJ38" s="174">
        <f t="shared" si="21"/>
        <v>0.77655624386525945</v>
      </c>
      <c r="AM38" s="173" t="s">
        <v>597</v>
      </c>
      <c r="AN38" s="174">
        <f>AN37/$AN$36</f>
        <v>0.17783584778267794</v>
      </c>
      <c r="AO38" s="174">
        <f t="shared" ref="AO38:AQ38" si="22">AO37/$AN$36</f>
        <v>8.7292512979999116E-3</v>
      </c>
      <c r="AP38" s="174">
        <f t="shared" si="22"/>
        <v>1.1858582065831104E-2</v>
      </c>
      <c r="AQ38" s="174">
        <f t="shared" si="22"/>
        <v>0.80157631885349101</v>
      </c>
    </row>
    <row r="39" spans="2:43" x14ac:dyDescent="0.25">
      <c r="AE39" s="286" t="str">
        <f>$B$25</f>
        <v>Non-carcinogens</v>
      </c>
      <c r="AF39" s="15">
        <f>D6</f>
        <v>7.846001639999999</v>
      </c>
      <c r="AG39" s="15">
        <f>AN39*Calculations!$C$47</f>
        <v>7.5107286647006983</v>
      </c>
      <c r="AH39" s="15">
        <f>AO39*Calculations!$C$47</f>
        <v>4.083375349149784</v>
      </c>
      <c r="AI39" s="15">
        <f>AP39*Calculations!$C$47</f>
        <v>4.0689052787323625</v>
      </c>
      <c r="AJ39" s="15">
        <f>AQ39*Calculations!$C$47</f>
        <v>4.0523579538527397</v>
      </c>
      <c r="AM39" s="286" t="str">
        <f>$B$25</f>
        <v>Non-carcinogens</v>
      </c>
      <c r="AN39" s="15">
        <f>D25</f>
        <v>8.6184906533200003</v>
      </c>
      <c r="AO39" s="15">
        <f>D44</f>
        <v>4.6856348900000002</v>
      </c>
      <c r="AP39" s="15">
        <f>D63</f>
        <v>4.66903062</v>
      </c>
      <c r="AQ39" s="15">
        <f>D82</f>
        <v>4.6500427199999992</v>
      </c>
    </row>
    <row r="40" spans="2:43" x14ac:dyDescent="0.25">
      <c r="B40" s="283" t="s">
        <v>623</v>
      </c>
      <c r="C40" s="284"/>
      <c r="D40" s="284"/>
      <c r="E40" s="284"/>
      <c r="F40" s="284"/>
      <c r="G40" s="284"/>
      <c r="H40" s="284"/>
      <c r="I40" s="284"/>
      <c r="J40" s="284"/>
      <c r="K40" s="285"/>
      <c r="AE40" s="286"/>
      <c r="AF40" s="15">
        <f>AF39-AG39</f>
        <v>0.33527297529930067</v>
      </c>
      <c r="AG40" s="15">
        <f>AG39-AH39</f>
        <v>3.4273533155509144</v>
      </c>
      <c r="AH40" s="15">
        <f t="shared" ref="AH40:AJ40" si="23">AH39-AI39</f>
        <v>1.4470070417421432E-2</v>
      </c>
      <c r="AI40" s="15">
        <f t="shared" si="23"/>
        <v>1.6547324879622849E-2</v>
      </c>
      <c r="AJ40" s="15">
        <f t="shared" si="23"/>
        <v>4.0523579538527397</v>
      </c>
      <c r="AM40" s="286"/>
      <c r="AN40" s="15">
        <f>AN39-AO39</f>
        <v>3.9328557633200001</v>
      </c>
      <c r="AO40" s="15">
        <f t="shared" ref="AO40:AQ40" si="24">AO39-AP39</f>
        <v>1.6604270000000199E-2</v>
      </c>
      <c r="AP40" s="15">
        <f t="shared" si="24"/>
        <v>1.8987900000000835E-2</v>
      </c>
      <c r="AQ40" s="15">
        <f t="shared" si="24"/>
        <v>4.6500427199999992</v>
      </c>
    </row>
    <row r="41" spans="2:43" ht="30" x14ac:dyDescent="0.25">
      <c r="AE41" s="123" t="s">
        <v>597</v>
      </c>
      <c r="AF41" s="174">
        <f>AF40/$AF39</f>
        <v>4.2731698345566588E-2</v>
      </c>
      <c r="AG41" s="174">
        <f t="shared" ref="AG41:AJ41" si="25">AG40/$AF39</f>
        <v>0.43682801416683298</v>
      </c>
      <c r="AH41" s="174">
        <f t="shared" si="25"/>
        <v>1.8442604375266782E-3</v>
      </c>
      <c r="AI41" s="174">
        <f t="shared" si="25"/>
        <v>2.1090136911598775E-3</v>
      </c>
      <c r="AJ41" s="174">
        <f t="shared" si="25"/>
        <v>0.51648701335891389</v>
      </c>
      <c r="AM41" s="173" t="s">
        <v>597</v>
      </c>
      <c r="AN41" s="174">
        <f>AN40/$AN$39</f>
        <v>0.45632767053068535</v>
      </c>
      <c r="AO41" s="174">
        <f t="shared" ref="AO41:AQ41" si="26">AO40/$AN$39</f>
        <v>1.9265867618715731E-3</v>
      </c>
      <c r="AP41" s="174">
        <f t="shared" si="26"/>
        <v>2.2031583909285029E-3</v>
      </c>
      <c r="AQ41" s="174">
        <f t="shared" si="26"/>
        <v>0.53954258431651458</v>
      </c>
    </row>
    <row r="42" spans="2:43" ht="30.95" customHeight="1" x14ac:dyDescent="0.25">
      <c r="B42" s="162" t="s">
        <v>547</v>
      </c>
      <c r="C42" s="162" t="s">
        <v>337</v>
      </c>
      <c r="D42" s="162" t="s">
        <v>213</v>
      </c>
      <c r="E42" s="162" t="s">
        <v>583</v>
      </c>
      <c r="F42" s="162" t="s">
        <v>581</v>
      </c>
      <c r="H42" s="122" t="s">
        <v>547</v>
      </c>
      <c r="I42" s="122" t="s">
        <v>337</v>
      </c>
      <c r="J42" s="162" t="s">
        <v>583</v>
      </c>
      <c r="K42" s="162" t="s">
        <v>581</v>
      </c>
      <c r="AE42" s="286" t="str">
        <f>$B$26</f>
        <v>Respiratory inorganics</v>
      </c>
      <c r="AF42" s="15">
        <f>D7</f>
        <v>0.30740002199999999</v>
      </c>
      <c r="AG42" s="15">
        <f>AN42*Calculations!$C$47</f>
        <v>0.29607759734070282</v>
      </c>
      <c r="AH42" s="15">
        <f>AO42*Calculations!$C$47</f>
        <v>0.22870087703298714</v>
      </c>
      <c r="AI42" s="15">
        <f>AP42*Calculations!$C$47</f>
        <v>0.22546507714757169</v>
      </c>
      <c r="AJ42" s="15">
        <f>AQ42*Calculations!$C$47</f>
        <v>0.22579128460858322</v>
      </c>
      <c r="AM42" s="286" t="str">
        <f>$B$26</f>
        <v>Respiratory inorganics</v>
      </c>
      <c r="AN42" s="15">
        <f>D26</f>
        <v>0.33974626421149995</v>
      </c>
      <c r="AO42" s="15">
        <f>D45</f>
        <v>0.26243210999999994</v>
      </c>
      <c r="AP42" s="15">
        <f>D64</f>
        <v>0.25871905999999995</v>
      </c>
      <c r="AQ42" s="15">
        <f>D83</f>
        <v>0.25909337999999998</v>
      </c>
    </row>
    <row r="43" spans="2:43" ht="18" x14ac:dyDescent="0.25">
      <c r="B43" s="123" t="s">
        <v>550</v>
      </c>
      <c r="C43" s="11" t="s">
        <v>551</v>
      </c>
      <c r="D43" s="15">
        <f>SUM(E43:F43)</f>
        <v>4.1439760799999998</v>
      </c>
      <c r="E43" s="178">
        <f>D62</f>
        <v>4.0999777999999996</v>
      </c>
      <c r="F43" s="178">
        <v>4.3998280000000001E-2</v>
      </c>
      <c r="H43" s="123" t="s">
        <v>550</v>
      </c>
      <c r="I43" s="11" t="s">
        <v>29</v>
      </c>
      <c r="J43" s="180">
        <f>E43/$D43</f>
        <v>0.9893825931543504</v>
      </c>
      <c r="K43" s="180">
        <f>F43/$D43</f>
        <v>1.0617406845649553E-2</v>
      </c>
      <c r="AE43" s="286"/>
      <c r="AF43" s="15">
        <f>AF42-AG42</f>
        <v>1.132242465929717E-2</v>
      </c>
      <c r="AG43" s="15">
        <f>AG42-AH42</f>
        <v>6.7376720307715687E-2</v>
      </c>
      <c r="AH43" s="15">
        <f t="shared" ref="AH43:AJ43" si="27">AH42-AI42</f>
        <v>3.2357998854154468E-3</v>
      </c>
      <c r="AI43" s="15">
        <f t="shared" si="27"/>
        <v>-3.2620746101152953E-4</v>
      </c>
      <c r="AJ43" s="15">
        <f t="shared" si="27"/>
        <v>0.22579128460858322</v>
      </c>
      <c r="AM43" s="286"/>
      <c r="AN43" s="15">
        <f>AN42-AO42</f>
        <v>7.7314154211500008E-2</v>
      </c>
      <c r="AO43" s="15">
        <f t="shared" ref="AO43:AQ43" si="28">AO42-AP42</f>
        <v>3.7130499999999955E-3</v>
      </c>
      <c r="AP43" s="15">
        <f t="shared" si="28"/>
        <v>-3.7432000000003907E-4</v>
      </c>
      <c r="AQ43" s="15">
        <f t="shared" si="28"/>
        <v>0.25909337999999998</v>
      </c>
    </row>
    <row r="44" spans="2:43" ht="30" x14ac:dyDescent="0.25">
      <c r="B44" s="123" t="s">
        <v>552</v>
      </c>
      <c r="C44" s="11" t="s">
        <v>551</v>
      </c>
      <c r="D44" s="15">
        <f t="shared" ref="D44:D57" si="29">SUM(E44:F44)</f>
        <v>4.6856348900000002</v>
      </c>
      <c r="E44" s="178">
        <f t="shared" ref="E44:E57" si="30">D63</f>
        <v>4.66903062</v>
      </c>
      <c r="F44" s="178">
        <v>1.6604270000000001E-2</v>
      </c>
      <c r="H44" s="123" t="s">
        <v>552</v>
      </c>
      <c r="I44" s="11" t="s">
        <v>29</v>
      </c>
      <c r="J44" s="180">
        <f t="shared" ref="J44:K57" si="31">E44/$D44</f>
        <v>0.99645634574827058</v>
      </c>
      <c r="K44" s="180">
        <f t="shared" si="31"/>
        <v>3.5436542517293746E-3</v>
      </c>
      <c r="AE44" s="123" t="s">
        <v>597</v>
      </c>
      <c r="AF44" s="174">
        <f>AF43/$AF42</f>
        <v>3.6832868734463432E-2</v>
      </c>
      <c r="AG44" s="174">
        <f t="shared" ref="AG44:AJ44" si="32">AG43/$AF42</f>
        <v>0.21918254874983609</v>
      </c>
      <c r="AH44" s="174">
        <f t="shared" si="32"/>
        <v>1.0526348906427362E-2</v>
      </c>
      <c r="AI44" s="174">
        <f t="shared" si="32"/>
        <v>-1.061182295593751E-3</v>
      </c>
      <c r="AJ44" s="174">
        <f t="shared" si="32"/>
        <v>0.73451941590486691</v>
      </c>
      <c r="AM44" s="173" t="s">
        <v>597</v>
      </c>
      <c r="AN44" s="174">
        <f>AN43/$AN$42</f>
        <v>0.22756439836339201</v>
      </c>
      <c r="AO44" s="174">
        <f t="shared" ref="AO44:AQ44" si="33">AO43/$AN$42</f>
        <v>1.0928891326053068E-2</v>
      </c>
      <c r="AP44" s="174">
        <f t="shared" si="33"/>
        <v>-1.1017634023696465E-3</v>
      </c>
      <c r="AQ44" s="174">
        <f t="shared" si="33"/>
        <v>0.76260847371292462</v>
      </c>
    </row>
    <row r="45" spans="2:43" x14ac:dyDescent="0.25">
      <c r="B45" s="123" t="s">
        <v>553</v>
      </c>
      <c r="C45" s="11" t="s">
        <v>554</v>
      </c>
      <c r="D45" s="15">
        <f t="shared" si="29"/>
        <v>0.26243210999999994</v>
      </c>
      <c r="E45" s="178">
        <f t="shared" si="30"/>
        <v>0.25871905999999995</v>
      </c>
      <c r="F45" s="178">
        <v>3.7130499999999999E-3</v>
      </c>
      <c r="H45" s="123" t="s">
        <v>553</v>
      </c>
      <c r="I45" s="11" t="s">
        <v>29</v>
      </c>
      <c r="J45" s="180">
        <f t="shared" si="31"/>
        <v>0.98585138838383768</v>
      </c>
      <c r="K45" s="180">
        <f t="shared" si="31"/>
        <v>1.414861161616237E-2</v>
      </c>
      <c r="AE45" s="286" t="str">
        <f>$B$27</f>
        <v>Ionizing radiation</v>
      </c>
      <c r="AF45" s="15">
        <f>D8</f>
        <v>6602.0150000000003</v>
      </c>
      <c r="AG45" s="15">
        <f>AN45*Calculations!$C$47</f>
        <v>8803.3584972703011</v>
      </c>
      <c r="AH45" s="15">
        <f>AO45*Calculations!$C$47</f>
        <v>8425.7790006291798</v>
      </c>
      <c r="AI45" s="15">
        <f>AP45*Calculations!$C$47</f>
        <v>8310.2229391802503</v>
      </c>
      <c r="AJ45" s="15">
        <f>AQ45*Calculations!$C$47</f>
        <v>7831.288306081934</v>
      </c>
      <c r="AM45" s="286" t="str">
        <f>$B$27</f>
        <v>Ionizing radiation</v>
      </c>
      <c r="AN45" s="15">
        <f>D27</f>
        <v>10101.771254650001</v>
      </c>
      <c r="AO45" s="15">
        <f>D46</f>
        <v>9668.5023259000009</v>
      </c>
      <c r="AP45" s="15">
        <f>D65</f>
        <v>9535.9028299000001</v>
      </c>
      <c r="AQ45" s="15">
        <f>D84</f>
        <v>8986.3298333000002</v>
      </c>
    </row>
    <row r="46" spans="2:43" x14ac:dyDescent="0.25">
      <c r="B46" s="123" t="s">
        <v>555</v>
      </c>
      <c r="C46" s="11" t="s">
        <v>556</v>
      </c>
      <c r="D46" s="15">
        <f t="shared" si="29"/>
        <v>9668.5023259000009</v>
      </c>
      <c r="E46" s="178">
        <f t="shared" si="30"/>
        <v>9535.9028299000001</v>
      </c>
      <c r="F46" s="178">
        <v>132.59949599999999</v>
      </c>
      <c r="H46" s="123" t="s">
        <v>555</v>
      </c>
      <c r="I46" s="11" t="s">
        <v>29</v>
      </c>
      <c r="J46" s="180">
        <f t="shared" si="31"/>
        <v>0.98628541510045531</v>
      </c>
      <c r="K46" s="180">
        <f t="shared" si="31"/>
        <v>1.3714584899544599E-2</v>
      </c>
      <c r="AE46" s="286"/>
      <c r="AF46" s="15">
        <f>AF45-AG45</f>
        <v>-2201.3434972703008</v>
      </c>
      <c r="AG46" s="15">
        <f>AG45-AH45</f>
        <v>377.5794966411213</v>
      </c>
      <c r="AH46" s="15">
        <f t="shared" ref="AH46:AJ46" si="34">AH45-AI45</f>
        <v>115.55606144892954</v>
      </c>
      <c r="AI46" s="15">
        <f t="shared" si="34"/>
        <v>478.93463309831623</v>
      </c>
      <c r="AJ46" s="15">
        <f t="shared" si="34"/>
        <v>7831.288306081934</v>
      </c>
      <c r="AM46" s="286"/>
      <c r="AN46" s="15">
        <f>AN45-AO45</f>
        <v>433.26892874999976</v>
      </c>
      <c r="AO46" s="15">
        <f t="shared" ref="AO46:AQ46" si="35">AO45-AP45</f>
        <v>132.59949600000073</v>
      </c>
      <c r="AP46" s="15">
        <f t="shared" si="35"/>
        <v>549.5729965999999</v>
      </c>
      <c r="AQ46" s="15">
        <f t="shared" si="35"/>
        <v>8986.3298333000002</v>
      </c>
    </row>
    <row r="47" spans="2:43" ht="30" x14ac:dyDescent="0.25">
      <c r="B47" s="123" t="s">
        <v>557</v>
      </c>
      <c r="C47" s="11" t="s">
        <v>558</v>
      </c>
      <c r="D47" s="15">
        <f t="shared" si="29"/>
        <v>7.5973260000000004E-5</v>
      </c>
      <c r="E47" s="178">
        <f t="shared" si="30"/>
        <v>7.5579970000000003E-5</v>
      </c>
      <c r="F47" s="178">
        <v>3.9329E-7</v>
      </c>
      <c r="H47" s="123" t="s">
        <v>557</v>
      </c>
      <c r="I47" s="11" t="s">
        <v>29</v>
      </c>
      <c r="J47" s="180">
        <f t="shared" si="31"/>
        <v>0.99482331020151038</v>
      </c>
      <c r="K47" s="180">
        <f t="shared" si="31"/>
        <v>5.1766897984896259E-3</v>
      </c>
      <c r="AE47" s="123" t="s">
        <v>597</v>
      </c>
      <c r="AF47" s="174">
        <f>AF46/$AF45</f>
        <v>-0.33343509478095712</v>
      </c>
      <c r="AG47" s="174">
        <f t="shared" ref="AG47:AJ47" si="36">AG46/$AF45</f>
        <v>5.7191553887884425E-2</v>
      </c>
      <c r="AH47" s="174">
        <f t="shared" si="36"/>
        <v>1.7503150394073557E-2</v>
      </c>
      <c r="AI47" s="174">
        <f t="shared" si="36"/>
        <v>7.2543705686569357E-2</v>
      </c>
      <c r="AJ47" s="174">
        <f t="shared" si="36"/>
        <v>1.1861966848124297</v>
      </c>
      <c r="AM47" s="173" t="s">
        <v>597</v>
      </c>
      <c r="AN47" s="174">
        <f>AN46/$AN45</f>
        <v>4.2890391974631126E-2</v>
      </c>
      <c r="AO47" s="174">
        <f t="shared" ref="AO47:AQ47" si="37">AO46/$AN45</f>
        <v>1.3126360977433848E-2</v>
      </c>
      <c r="AP47" s="174">
        <f t="shared" si="37"/>
        <v>5.4403627121038106E-2</v>
      </c>
      <c r="AQ47" s="174">
        <f t="shared" si="37"/>
        <v>0.88957961992689694</v>
      </c>
    </row>
    <row r="48" spans="2:43" ht="18" x14ac:dyDescent="0.25">
      <c r="B48" s="123" t="s">
        <v>559</v>
      </c>
      <c r="C48" s="11" t="s">
        <v>560</v>
      </c>
      <c r="D48" s="15">
        <f t="shared" si="29"/>
        <v>0.13278728000000001</v>
      </c>
      <c r="E48" s="178">
        <f t="shared" si="30"/>
        <v>0.13244829</v>
      </c>
      <c r="F48" s="178">
        <v>3.3899000000000001E-4</v>
      </c>
      <c r="H48" s="123" t="s">
        <v>559</v>
      </c>
      <c r="I48" s="11" t="s">
        <v>29</v>
      </c>
      <c r="J48" s="180">
        <f t="shared" si="31"/>
        <v>0.99744711993498159</v>
      </c>
      <c r="K48" s="180">
        <f t="shared" si="31"/>
        <v>2.5528800650182759E-3</v>
      </c>
      <c r="AE48" s="286" t="str">
        <f>$B$27</f>
        <v>Ionizing radiation</v>
      </c>
      <c r="AF48" s="15">
        <f>D9</f>
        <v>7.3850000000054406E-5</v>
      </c>
      <c r="AG48" s="15">
        <f>AN48*Calculations!$C$47</f>
        <v>7.0428737416380628E-5</v>
      </c>
      <c r="AH48" s="15">
        <f>AO48*Calculations!$C$47</f>
        <v>6.6208175489863513E-5</v>
      </c>
      <c r="AI48" s="15">
        <f>AP48*Calculations!$C$47</f>
        <v>6.5865436303228525E-5</v>
      </c>
      <c r="AJ48" s="15">
        <f>AQ48*Calculations!$C$47</f>
        <v>6.4539116087338852E-5</v>
      </c>
      <c r="AM48" s="286" t="str">
        <f>$B$28</f>
        <v>Ozone layer depletion</v>
      </c>
      <c r="AN48" s="15">
        <f>D28</f>
        <v>8.0816315200010413E-5</v>
      </c>
      <c r="AO48" s="15">
        <f>D47</f>
        <v>7.5973260000000004E-5</v>
      </c>
      <c r="AP48" s="15">
        <f>D66</f>
        <v>7.5579970000000003E-5</v>
      </c>
      <c r="AQ48" s="15">
        <f>D85</f>
        <v>7.4058030000000004E-5</v>
      </c>
    </row>
    <row r="49" spans="2:43" x14ac:dyDescent="0.25">
      <c r="B49" s="123" t="s">
        <v>561</v>
      </c>
      <c r="C49" s="11" t="s">
        <v>562</v>
      </c>
      <c r="D49" s="15">
        <f t="shared" si="29"/>
        <v>26811.136864</v>
      </c>
      <c r="E49" s="178">
        <f t="shared" si="30"/>
        <v>26657.093761</v>
      </c>
      <c r="F49" s="178">
        <v>154.043103</v>
      </c>
      <c r="H49" s="123" t="s">
        <v>561</v>
      </c>
      <c r="I49" s="11" t="s">
        <v>29</v>
      </c>
      <c r="J49" s="180">
        <f t="shared" si="31"/>
        <v>0.99425451058709724</v>
      </c>
      <c r="K49" s="180">
        <f t="shared" si="31"/>
        <v>5.7454894129028008E-3</v>
      </c>
      <c r="AE49" s="286"/>
      <c r="AF49" s="15">
        <f>AF48-AG48</f>
        <v>3.4212625836737784E-6</v>
      </c>
      <c r="AG49" s="15">
        <f>AG48-AH48</f>
        <v>4.2205619265171145E-6</v>
      </c>
      <c r="AH49" s="15">
        <f t="shared" ref="AH49:AJ49" si="38">AH48-AI48</f>
        <v>3.4273918663498817E-7</v>
      </c>
      <c r="AI49" s="15">
        <f t="shared" si="38"/>
        <v>1.3263202158896731E-6</v>
      </c>
      <c r="AJ49" s="15">
        <f t="shared" si="38"/>
        <v>6.4539116087338852E-5</v>
      </c>
      <c r="AM49" s="286"/>
      <c r="AN49" s="15">
        <f>AN48-AO48</f>
        <v>4.8430552000104096E-6</v>
      </c>
      <c r="AO49" s="15">
        <f t="shared" ref="AO49:AQ49" si="39">AO48-AP48</f>
        <v>3.9329000000000111E-7</v>
      </c>
      <c r="AP49" s="15">
        <f t="shared" si="39"/>
        <v>1.5219399999999992E-6</v>
      </c>
      <c r="AQ49" s="15">
        <f t="shared" si="39"/>
        <v>7.4058030000000004E-5</v>
      </c>
    </row>
    <row r="50" spans="2:43" ht="30" x14ac:dyDescent="0.25">
      <c r="B50" s="123" t="s">
        <v>563</v>
      </c>
      <c r="C50" s="11" t="s">
        <v>564</v>
      </c>
      <c r="D50" s="15">
        <f t="shared" si="29"/>
        <v>14134.871373099999</v>
      </c>
      <c r="E50" s="178">
        <f t="shared" si="30"/>
        <v>14098.052467899999</v>
      </c>
      <c r="F50" s="178">
        <v>36.818905200000003</v>
      </c>
      <c r="H50" s="123" t="s">
        <v>563</v>
      </c>
      <c r="I50" s="11" t="s">
        <v>29</v>
      </c>
      <c r="J50" s="180">
        <f t="shared" si="31"/>
        <v>0.99739517224966978</v>
      </c>
      <c r="K50" s="180">
        <f t="shared" si="31"/>
        <v>2.6048277503302841E-3</v>
      </c>
      <c r="AE50" s="123" t="s">
        <v>597</v>
      </c>
      <c r="AF50" s="174">
        <f>AF49/$AF48</f>
        <v>4.6327184613016353E-2</v>
      </c>
      <c r="AG50" s="174">
        <f t="shared" ref="AG50:AJ50" si="40">AG49/$AF48</f>
        <v>5.7150466168097568E-2</v>
      </c>
      <c r="AH50" s="174">
        <f t="shared" si="40"/>
        <v>4.6410180993193724E-3</v>
      </c>
      <c r="AI50" s="174">
        <f t="shared" si="40"/>
        <v>1.7959650858343886E-2</v>
      </c>
      <c r="AJ50" s="174">
        <f t="shared" si="40"/>
        <v>0.87392168026122286</v>
      </c>
      <c r="AM50" s="173" t="s">
        <v>597</v>
      </c>
      <c r="AN50" s="174">
        <f>AN49/$AN48</f>
        <v>5.9926701533278837E-2</v>
      </c>
      <c r="AO50" s="174">
        <f t="shared" ref="AO50:AQ50" si="41">AO49/$AN48</f>
        <v>4.8664678540051827E-3</v>
      </c>
      <c r="AP50" s="174">
        <f t="shared" si="41"/>
        <v>1.8832088498880274E-2</v>
      </c>
      <c r="AQ50" s="174">
        <f t="shared" si="41"/>
        <v>0.91637474211383574</v>
      </c>
    </row>
    <row r="51" spans="2:43" ht="18" x14ac:dyDescent="0.25">
      <c r="B51" s="123" t="s">
        <v>565</v>
      </c>
      <c r="C51" s="11" t="s">
        <v>566</v>
      </c>
      <c r="D51" s="15">
        <f t="shared" si="29"/>
        <v>4.1035095399999992</v>
      </c>
      <c r="E51" s="178">
        <f t="shared" si="30"/>
        <v>4.0456220399999996</v>
      </c>
      <c r="F51" s="178">
        <v>5.7887500000000001E-2</v>
      </c>
      <c r="H51" s="123" t="s">
        <v>565</v>
      </c>
      <c r="I51" s="11" t="s">
        <v>29</v>
      </c>
      <c r="J51" s="180">
        <f t="shared" si="31"/>
        <v>0.98589317279861866</v>
      </c>
      <c r="K51" s="180">
        <f t="shared" si="31"/>
        <v>1.4106827201381384E-2</v>
      </c>
      <c r="AE51" s="286" t="str">
        <f>$B$29</f>
        <v>Respiratory organics</v>
      </c>
      <c r="AF51" s="15">
        <f>D10</f>
        <v>0.136330387</v>
      </c>
      <c r="AG51" s="15">
        <f>AN51*Calculations!$C$47</f>
        <v>0.12802642752338386</v>
      </c>
      <c r="AH51" s="15">
        <f>AO51*Calculations!$C$47</f>
        <v>0.11571970897473195</v>
      </c>
      <c r="AI51" s="15">
        <f>AP51*Calculations!$C$47</f>
        <v>0.11542429043656063</v>
      </c>
      <c r="AJ51" s="15">
        <f>AQ51*Calculations!$C$47</f>
        <v>0.11471931735047053</v>
      </c>
      <c r="AM51" s="286" t="str">
        <f>$B$29</f>
        <v>Respiratory organics</v>
      </c>
      <c r="AN51" s="15">
        <f>D29</f>
        <v>0.14690912403400003</v>
      </c>
      <c r="AO51" s="15">
        <f>D48</f>
        <v>0.13278728000000001</v>
      </c>
      <c r="AP51" s="15">
        <f>D67</f>
        <v>0.13244829</v>
      </c>
      <c r="AQ51" s="15">
        <f>D86</f>
        <v>0.13163933999999999</v>
      </c>
    </row>
    <row r="52" spans="2:43" x14ac:dyDescent="0.25">
      <c r="B52" s="123" t="s">
        <v>567</v>
      </c>
      <c r="C52" s="11" t="s">
        <v>568</v>
      </c>
      <c r="D52" s="15">
        <f t="shared" si="29"/>
        <v>8.0841271600000013</v>
      </c>
      <c r="E52" s="178">
        <f t="shared" si="30"/>
        <v>8.0437281800000004</v>
      </c>
      <c r="F52" s="178">
        <v>4.0398980000000001E-2</v>
      </c>
      <c r="H52" s="123" t="s">
        <v>567</v>
      </c>
      <c r="I52" s="11" t="s">
        <v>29</v>
      </c>
      <c r="J52" s="180">
        <f t="shared" si="31"/>
        <v>0.99500267880496818</v>
      </c>
      <c r="K52" s="180">
        <f t="shared" si="31"/>
        <v>4.997321195031771E-3</v>
      </c>
      <c r="AE52" s="286"/>
      <c r="AF52" s="15">
        <f>AF51-AG51</f>
        <v>8.3039594766161351E-3</v>
      </c>
      <c r="AG52" s="15">
        <f>AG51-AH51</f>
        <v>1.230671854865191E-2</v>
      </c>
      <c r="AH52" s="15">
        <f t="shared" ref="AH52:AJ52" si="42">AH51-AI51</f>
        <v>2.9541853817131869E-4</v>
      </c>
      <c r="AI52" s="15">
        <f t="shared" si="42"/>
        <v>7.0497308609010489E-4</v>
      </c>
      <c r="AJ52" s="15">
        <f t="shared" si="42"/>
        <v>0.11471931735047053</v>
      </c>
      <c r="AM52" s="286"/>
      <c r="AN52" s="15">
        <f>AN51-AO51</f>
        <v>1.412184403400002E-2</v>
      </c>
      <c r="AO52" s="15">
        <f t="shared" ref="AO52:AQ52" si="43">AO51-AP51</f>
        <v>3.3899000000001123E-4</v>
      </c>
      <c r="AP52" s="15">
        <f t="shared" si="43"/>
        <v>8.0895000000000272E-4</v>
      </c>
      <c r="AQ52" s="15">
        <f t="shared" si="43"/>
        <v>0.13163933999999999</v>
      </c>
    </row>
    <row r="53" spans="2:43" ht="30" x14ac:dyDescent="0.25">
      <c r="B53" s="123" t="s">
        <v>569</v>
      </c>
      <c r="C53" s="11" t="s">
        <v>566</v>
      </c>
      <c r="D53" s="15">
        <f t="shared" si="29"/>
        <v>1.3214358099999999</v>
      </c>
      <c r="E53" s="178">
        <f t="shared" si="30"/>
        <v>1.30158895</v>
      </c>
      <c r="F53" s="178">
        <v>1.9846860000000001E-2</v>
      </c>
      <c r="H53" s="123" t="s">
        <v>569</v>
      </c>
      <c r="I53" s="11" t="s">
        <v>29</v>
      </c>
      <c r="J53" s="180">
        <f t="shared" si="31"/>
        <v>0.98498083686713478</v>
      </c>
      <c r="K53" s="180">
        <f t="shared" si="31"/>
        <v>1.5019163132865306E-2</v>
      </c>
      <c r="AE53" s="123" t="s">
        <v>597</v>
      </c>
      <c r="AF53" s="174">
        <f>AF52/$AF51</f>
        <v>6.0910554567824522E-2</v>
      </c>
      <c r="AG53" s="174">
        <f t="shared" ref="AG53:AJ53" si="44">AG52/$AF51</f>
        <v>9.0271280082641514E-2</v>
      </c>
      <c r="AH53" s="174">
        <f t="shared" si="44"/>
        <v>2.166930973146278E-3</v>
      </c>
      <c r="AI53" s="174">
        <f t="shared" si="44"/>
        <v>5.1710634848421934E-3</v>
      </c>
      <c r="AJ53" s="174">
        <f t="shared" si="44"/>
        <v>0.84148017089154548</v>
      </c>
      <c r="AM53" s="173" t="s">
        <v>597</v>
      </c>
      <c r="AN53" s="174">
        <f>AN52/$AN51</f>
        <v>9.6126391923293475E-2</v>
      </c>
      <c r="AO53" s="174">
        <f t="shared" ref="AO53:AQ53" si="45">AO52/$AN51</f>
        <v>2.3074809153552423E-3</v>
      </c>
      <c r="AP53" s="174">
        <f t="shared" si="45"/>
        <v>5.5064653425663523E-3</v>
      </c>
      <c r="AQ53" s="174">
        <f t="shared" si="45"/>
        <v>0.89605966181878494</v>
      </c>
    </row>
    <row r="54" spans="2:43" ht="18" x14ac:dyDescent="0.25">
      <c r="B54" s="123" t="s">
        <v>570</v>
      </c>
      <c r="C54" s="11" t="s">
        <v>571</v>
      </c>
      <c r="D54" s="15">
        <f t="shared" si="29"/>
        <v>4.9625869999999996E-2</v>
      </c>
      <c r="E54" s="178">
        <f t="shared" si="30"/>
        <v>4.9251479999999993E-2</v>
      </c>
      <c r="F54" s="178">
        <v>3.7439E-4</v>
      </c>
      <c r="H54" s="123" t="s">
        <v>570</v>
      </c>
      <c r="I54" s="11" t="s">
        <v>29</v>
      </c>
      <c r="J54" s="180">
        <f t="shared" si="31"/>
        <v>0.9924557493903885</v>
      </c>
      <c r="K54" s="180">
        <f t="shared" si="31"/>
        <v>7.5442506096114791E-3</v>
      </c>
      <c r="AE54" s="286" t="str">
        <f>$B$30</f>
        <v>Aquatic ecotoxicity</v>
      </c>
      <c r="AF54" s="15">
        <f>D11</f>
        <v>28700.698</v>
      </c>
      <c r="AG54" s="15">
        <f>AN54*Calculations!$C$47</f>
        <v>27096.815868160014</v>
      </c>
      <c r="AH54" s="15">
        <f>AO54*Calculations!$C$47</f>
        <v>23365.016251434528</v>
      </c>
      <c r="AI54" s="15">
        <f>AP54*Calculations!$C$47</f>
        <v>23230.772797929611</v>
      </c>
      <c r="AJ54" s="15">
        <f>AQ54*Calculations!$C$47</f>
        <v>22819.777175915213</v>
      </c>
      <c r="AM54" s="286" t="str">
        <f>$B$30</f>
        <v>Aquatic ecotoxicity</v>
      </c>
      <c r="AN54" s="15">
        <f>D30</f>
        <v>31093.3419006392</v>
      </c>
      <c r="AO54" s="15">
        <f>D49</f>
        <v>26811.136864</v>
      </c>
      <c r="AP54" s="15">
        <f>D68</f>
        <v>26657.093761</v>
      </c>
      <c r="AQ54" s="15">
        <f>D87</f>
        <v>26185.480142</v>
      </c>
    </row>
    <row r="55" spans="2:43" ht="18" x14ac:dyDescent="0.25">
      <c r="B55" s="171" t="s">
        <v>572</v>
      </c>
      <c r="C55" s="161" t="s">
        <v>573</v>
      </c>
      <c r="D55" s="185">
        <f t="shared" si="29"/>
        <v>296.13180667</v>
      </c>
      <c r="E55" s="186">
        <f t="shared" si="30"/>
        <v>293.23420534000002</v>
      </c>
      <c r="F55" s="186">
        <v>2.8976013300000001</v>
      </c>
      <c r="H55" s="123" t="s">
        <v>572</v>
      </c>
      <c r="I55" s="11" t="s">
        <v>29</v>
      </c>
      <c r="J55" s="180">
        <f t="shared" si="31"/>
        <v>0.99021516343487892</v>
      </c>
      <c r="K55" s="180">
        <f t="shared" si="31"/>
        <v>9.784836565121139E-3</v>
      </c>
      <c r="AE55" s="286"/>
      <c r="AF55" s="15">
        <f>AF54-AG54</f>
        <v>1603.882131839986</v>
      </c>
      <c r="AG55" s="15">
        <f>AG54-AH54</f>
        <v>3731.799616725486</v>
      </c>
      <c r="AH55" s="15">
        <f t="shared" ref="AH55:AJ55" si="46">AH54-AI54</f>
        <v>134.24345350491785</v>
      </c>
      <c r="AI55" s="15">
        <f t="shared" si="46"/>
        <v>410.99562201439767</v>
      </c>
      <c r="AJ55" s="15">
        <f t="shared" si="46"/>
        <v>22819.777175915213</v>
      </c>
      <c r="AM55" s="286"/>
      <c r="AN55" s="15">
        <f>AN54-AO54</f>
        <v>4282.2050366391995</v>
      </c>
      <c r="AO55" s="15">
        <f t="shared" ref="AO55:AQ55" si="47">AO54-AP54</f>
        <v>154.04310299999997</v>
      </c>
      <c r="AP55" s="15">
        <f t="shared" si="47"/>
        <v>471.61361899999974</v>
      </c>
      <c r="AQ55" s="15">
        <f t="shared" si="47"/>
        <v>26185.480142</v>
      </c>
    </row>
    <row r="56" spans="2:43" ht="30" x14ac:dyDescent="0.25">
      <c r="B56" s="123" t="s">
        <v>574</v>
      </c>
      <c r="C56" s="11" t="s">
        <v>575</v>
      </c>
      <c r="D56" s="15">
        <f t="shared" si="29"/>
        <v>7454.1778172000004</v>
      </c>
      <c r="E56" s="178">
        <f t="shared" si="30"/>
        <v>7395.1687651000002</v>
      </c>
      <c r="F56" s="178">
        <v>59.009052099999998</v>
      </c>
      <c r="H56" s="123" t="s">
        <v>574</v>
      </c>
      <c r="I56" s="11" t="s">
        <v>29</v>
      </c>
      <c r="J56" s="180">
        <f t="shared" si="31"/>
        <v>0.99208376114078722</v>
      </c>
      <c r="K56" s="180">
        <f t="shared" si="31"/>
        <v>7.916238859212707E-3</v>
      </c>
      <c r="AE56" s="123" t="s">
        <v>597</v>
      </c>
      <c r="AF56" s="174">
        <f>AF55/$AF54</f>
        <v>5.5883035731046887E-2</v>
      </c>
      <c r="AG56" s="174">
        <f t="shared" ref="AG56:AJ56" si="48">AG55/$AF54</f>
        <v>0.13002469893678145</v>
      </c>
      <c r="AH56" s="174">
        <f t="shared" si="48"/>
        <v>4.6773584915920114E-3</v>
      </c>
      <c r="AI56" s="174">
        <f t="shared" si="48"/>
        <v>1.4320056676475174E-2</v>
      </c>
      <c r="AJ56" s="174">
        <f t="shared" si="48"/>
        <v>0.79509485016410442</v>
      </c>
      <c r="AM56" s="173" t="s">
        <v>597</v>
      </c>
      <c r="AN56" s="174">
        <f>AN55/$AN54</f>
        <v>0.13772096451784646</v>
      </c>
      <c r="AO56" s="174">
        <f t="shared" ref="AO56:AQ56" si="49">AO55/$AN54</f>
        <v>4.9542150693307509E-3</v>
      </c>
      <c r="AP56" s="174">
        <f t="shared" si="49"/>
        <v>1.516767224658809E-2</v>
      </c>
      <c r="AQ56" s="174">
        <f t="shared" si="49"/>
        <v>0.84215714816623466</v>
      </c>
    </row>
    <row r="57" spans="2:43" x14ac:dyDescent="0.25">
      <c r="B57" s="123" t="s">
        <v>576</v>
      </c>
      <c r="C57" s="11" t="s">
        <v>577</v>
      </c>
      <c r="D57" s="15">
        <f t="shared" si="29"/>
        <v>5.6769621699999995</v>
      </c>
      <c r="E57" s="178">
        <f t="shared" si="30"/>
        <v>5.6440420899999992</v>
      </c>
      <c r="F57" s="178">
        <v>3.2920079999999997E-2</v>
      </c>
      <c r="H57" s="123" t="s">
        <v>576</v>
      </c>
      <c r="I57" s="11" t="s">
        <v>29</v>
      </c>
      <c r="J57" s="180">
        <f t="shared" si="31"/>
        <v>0.99420110985167964</v>
      </c>
      <c r="K57" s="180">
        <f t="shared" si="31"/>
        <v>5.7988901483202945E-3</v>
      </c>
      <c r="AE57" s="286" t="str">
        <f>$B$31</f>
        <v>Terrestrial ecotoxicity</v>
      </c>
      <c r="AF57" s="15">
        <f>D12</f>
        <v>14690.000147000001</v>
      </c>
      <c r="AG57" s="15">
        <f>AN57*Calculations!$C$47</f>
        <v>13510.685174845059</v>
      </c>
      <c r="AH57" s="15">
        <f>AO57*Calculations!$C$47</f>
        <v>12318.071442463477</v>
      </c>
      <c r="AI57" s="15">
        <f>AP57*Calculations!$C$47</f>
        <v>12285.984988139597</v>
      </c>
      <c r="AJ57" s="15">
        <f>AQ57*Calculations!$C$47</f>
        <v>12189.443468786185</v>
      </c>
      <c r="AM57" s="286" t="str">
        <f>$B$31</f>
        <v>Terrestrial ecotoxicity</v>
      </c>
      <c r="AN57" s="15">
        <f>D31</f>
        <v>15503.384438131798</v>
      </c>
      <c r="AO57" s="15">
        <f>D50</f>
        <v>14134.871373099999</v>
      </c>
      <c r="AP57" s="15">
        <f>D69</f>
        <v>14098.052467899999</v>
      </c>
      <c r="AQ57" s="15">
        <f>D88</f>
        <v>13987.2719805</v>
      </c>
    </row>
    <row r="58" spans="2:43" x14ac:dyDescent="0.25">
      <c r="AE58" s="286"/>
      <c r="AF58" s="15">
        <f>AF57-AG57</f>
        <v>1179.3149721549416</v>
      </c>
      <c r="AG58" s="15">
        <f>AG57-AH57</f>
        <v>1192.6137323815819</v>
      </c>
      <c r="AH58" s="15">
        <f t="shared" ref="AH58:AJ58" si="50">AH57-AI57</f>
        <v>32.086454323880389</v>
      </c>
      <c r="AI58" s="15">
        <f t="shared" si="50"/>
        <v>96.541519353411786</v>
      </c>
      <c r="AJ58" s="15">
        <f t="shared" si="50"/>
        <v>12189.443468786185</v>
      </c>
      <c r="AM58" s="286"/>
      <c r="AN58" s="15">
        <f>AN57-AO57</f>
        <v>1368.5130650317988</v>
      </c>
      <c r="AO58" s="15">
        <f t="shared" ref="AO58:AQ58" si="51">AO57-AP57</f>
        <v>36.81890519999979</v>
      </c>
      <c r="AP58" s="15">
        <f t="shared" si="51"/>
        <v>110.7804873999994</v>
      </c>
      <c r="AQ58" s="15">
        <f t="shared" si="51"/>
        <v>13987.2719805</v>
      </c>
    </row>
    <row r="59" spans="2:43" ht="30" x14ac:dyDescent="0.25">
      <c r="B59" s="282" t="s">
        <v>624</v>
      </c>
      <c r="C59" s="282"/>
      <c r="D59" s="282"/>
      <c r="E59" s="282"/>
      <c r="F59" s="282"/>
      <c r="G59" s="282"/>
      <c r="H59" s="282"/>
      <c r="I59" s="282"/>
      <c r="J59" s="282"/>
      <c r="K59" s="282"/>
      <c r="L59" s="282"/>
      <c r="M59" s="282"/>
      <c r="AE59" s="123" t="s">
        <v>597</v>
      </c>
      <c r="AF59" s="174">
        <f>AF58/$AF57</f>
        <v>8.0280119833476105E-2</v>
      </c>
      <c r="AG59" s="174">
        <f t="shared" ref="AG59:AJ59" si="52">AG58/$AF57</f>
        <v>8.1185413236713827E-2</v>
      </c>
      <c r="AH59" s="174">
        <f t="shared" si="52"/>
        <v>2.1842378490672175E-3</v>
      </c>
      <c r="AI59" s="174">
        <f t="shared" si="52"/>
        <v>6.5719209249380127E-3</v>
      </c>
      <c r="AJ59" s="174">
        <f t="shared" si="52"/>
        <v>0.82977830815580489</v>
      </c>
      <c r="AM59" s="173" t="s">
        <v>597</v>
      </c>
      <c r="AN59" s="174">
        <f>AN58/$AN57</f>
        <v>8.8271891243684369E-2</v>
      </c>
      <c r="AO59" s="174">
        <f t="shared" ref="AO59:AQ59" si="53">AO58/$AN57</f>
        <v>2.3748946784445846E-3</v>
      </c>
      <c r="AP59" s="174">
        <f t="shared" si="53"/>
        <v>7.1455679785328713E-3</v>
      </c>
      <c r="AQ59" s="174">
        <f t="shared" si="53"/>
        <v>0.90220764609933812</v>
      </c>
    </row>
    <row r="60" spans="2:43" x14ac:dyDescent="0.25">
      <c r="AE60" s="286" t="str">
        <f>$B$32</f>
        <v>Terrestrial acid/nutri</v>
      </c>
      <c r="AF60" s="15">
        <f>D13</f>
        <v>4.7600009500000002</v>
      </c>
      <c r="AG60" s="15">
        <f>AN60*Calculations!$C$47</f>
        <v>4.6029400706054533</v>
      </c>
      <c r="AH60" s="15">
        <f>AO60*Calculations!$C$47</f>
        <v>3.5760724200679164</v>
      </c>
      <c r="AI60" s="15">
        <f>AP60*Calculations!$C$47</f>
        <v>3.5256253843783929</v>
      </c>
      <c r="AJ60" s="15">
        <f>AQ60*Calculations!$C$47</f>
        <v>3.3868402492835581</v>
      </c>
      <c r="AM60" s="286" t="str">
        <f>$B$32</f>
        <v>Terrestrial acid/nutri</v>
      </c>
      <c r="AN60" s="15">
        <f>D32</f>
        <v>5.2818305316699998</v>
      </c>
      <c r="AO60" s="15">
        <f>D51</f>
        <v>4.1035095399999992</v>
      </c>
      <c r="AP60" s="15">
        <f>D70</f>
        <v>4.0456220399999996</v>
      </c>
      <c r="AQ60" s="15">
        <f>D89</f>
        <v>3.8863674000000001</v>
      </c>
    </row>
    <row r="61" spans="2:43" ht="30.95" customHeight="1" x14ac:dyDescent="0.25">
      <c r="B61" s="162" t="s">
        <v>547</v>
      </c>
      <c r="C61" s="162" t="s">
        <v>337</v>
      </c>
      <c r="D61" s="162" t="s">
        <v>595</v>
      </c>
      <c r="E61" s="162" t="s">
        <v>584</v>
      </c>
      <c r="F61" s="162" t="s">
        <v>581</v>
      </c>
      <c r="G61" s="162" t="s">
        <v>335</v>
      </c>
      <c r="I61" s="122" t="s">
        <v>547</v>
      </c>
      <c r="J61" s="122" t="s">
        <v>337</v>
      </c>
      <c r="K61" s="162" t="s">
        <v>584</v>
      </c>
      <c r="L61" s="162" t="s">
        <v>581</v>
      </c>
      <c r="M61" s="162" t="s">
        <v>335</v>
      </c>
      <c r="AE61" s="286"/>
      <c r="AF61" s="15">
        <f>AF60-AG60</f>
        <v>0.15706087939454694</v>
      </c>
      <c r="AG61" s="15">
        <f>AG60-AH60</f>
        <v>1.0268676505375369</v>
      </c>
      <c r="AH61" s="15">
        <f t="shared" ref="AH61:AJ61" si="54">AH60-AI60</f>
        <v>5.0447035689523467E-2</v>
      </c>
      <c r="AI61" s="15">
        <f t="shared" si="54"/>
        <v>0.13878513509483481</v>
      </c>
      <c r="AJ61" s="15">
        <f t="shared" si="54"/>
        <v>3.3868402492835581</v>
      </c>
      <c r="AM61" s="286"/>
      <c r="AN61" s="15">
        <f>AN60-AO60</f>
        <v>1.1783209916700006</v>
      </c>
      <c r="AO61" s="15">
        <f t="shared" ref="AO61:AQ61" si="55">AO60-AP60</f>
        <v>5.7887499999999648E-2</v>
      </c>
      <c r="AP61" s="15">
        <f t="shared" si="55"/>
        <v>0.15925463999999945</v>
      </c>
      <c r="AQ61" s="15">
        <f t="shared" si="55"/>
        <v>3.8863674000000001</v>
      </c>
    </row>
    <row r="62" spans="2:43" ht="30" x14ac:dyDescent="0.25">
      <c r="B62" s="123" t="s">
        <v>550</v>
      </c>
      <c r="C62" s="11" t="s">
        <v>551</v>
      </c>
      <c r="D62" s="15">
        <f>SUM(E62:G62)</f>
        <v>4.0999777999999996</v>
      </c>
      <c r="E62" s="178">
        <f>D81</f>
        <v>4.0402066699999999</v>
      </c>
      <c r="F62" s="178">
        <v>0.20771533</v>
      </c>
      <c r="G62" s="178">
        <v>-0.1479442</v>
      </c>
      <c r="H62" s="179">
        <f>SUM(E62:F62)</f>
        <v>4.247922</v>
      </c>
      <c r="I62" s="123" t="s">
        <v>550</v>
      </c>
      <c r="J62" s="11" t="s">
        <v>29</v>
      </c>
      <c r="K62" s="180">
        <f>E62/$H62</f>
        <v>0.95110189640958565</v>
      </c>
      <c r="L62" s="180">
        <f t="shared" ref="L62:M76" si="56">F62/$H62</f>
        <v>4.8898103590414327E-2</v>
      </c>
      <c r="M62" s="180">
        <f t="shared" si="56"/>
        <v>-3.4827428563895479E-2</v>
      </c>
      <c r="AE62" s="123" t="s">
        <v>597</v>
      </c>
      <c r="AF62" s="174">
        <f>AF61/$AF60</f>
        <v>3.2995976480749846E-2</v>
      </c>
      <c r="AG62" s="174">
        <f t="shared" ref="AG62:AJ62" si="57">AG61/$AF60</f>
        <v>0.2157284549570388</v>
      </c>
      <c r="AH62" s="174">
        <f t="shared" si="57"/>
        <v>1.059811462632659E-2</v>
      </c>
      <c r="AI62" s="174">
        <f t="shared" si="57"/>
        <v>2.9156535167253445E-2</v>
      </c>
      <c r="AJ62" s="174">
        <f t="shared" si="57"/>
        <v>0.71152091876863133</v>
      </c>
      <c r="AM62" s="173" t="s">
        <v>597</v>
      </c>
      <c r="AN62" s="174">
        <f>AN61/$AN60</f>
        <v>0.2230895112224362</v>
      </c>
      <c r="AO62" s="174">
        <f t="shared" ref="AO62:AQ62" si="58">AO61/$AN60</f>
        <v>1.0959742016125778E-2</v>
      </c>
      <c r="AP62" s="174">
        <f t="shared" si="58"/>
        <v>3.0151410395525619E-2</v>
      </c>
      <c r="AQ62" s="174">
        <f t="shared" si="58"/>
        <v>0.73579933636591244</v>
      </c>
    </row>
    <row r="63" spans="2:43" ht="18" x14ac:dyDescent="0.25">
      <c r="B63" s="123" t="s">
        <v>552</v>
      </c>
      <c r="C63" s="11" t="s">
        <v>551</v>
      </c>
      <c r="D63" s="15">
        <f t="shared" ref="D63:D76" si="59">SUM(E63:G63)</f>
        <v>4.66903062</v>
      </c>
      <c r="E63" s="178">
        <f t="shared" ref="E63:E76" si="60">D82</f>
        <v>4.6500427199999992</v>
      </c>
      <c r="F63" s="178">
        <v>7.8388570000000005E-2</v>
      </c>
      <c r="G63" s="178">
        <v>-5.9400670000000003E-2</v>
      </c>
      <c r="H63" s="179">
        <f t="shared" ref="H63:H76" si="61">SUM(E63:F63)</f>
        <v>4.7284312899999996</v>
      </c>
      <c r="I63" s="123" t="s">
        <v>552</v>
      </c>
      <c r="J63" s="11" t="s">
        <v>29</v>
      </c>
      <c r="K63" s="180">
        <f t="shared" ref="K63:K76" si="62">E63/$H63</f>
        <v>0.98342186547877264</v>
      </c>
      <c r="L63" s="180">
        <f t="shared" si="56"/>
        <v>1.6578134521227233E-2</v>
      </c>
      <c r="M63" s="180">
        <f t="shared" si="56"/>
        <v>-1.2562447534264585E-2</v>
      </c>
      <c r="AE63" s="286" t="str">
        <f>$B$33</f>
        <v>Land occupation</v>
      </c>
      <c r="AF63" s="15">
        <f>D14</f>
        <v>13.762</v>
      </c>
      <c r="AG63" s="15">
        <f>AN63*Calculations!$C$47</f>
        <v>13.052068362360506</v>
      </c>
      <c r="AH63" s="15">
        <f>AO63*Calculations!$C$47</f>
        <v>7.0450486090981483</v>
      </c>
      <c r="AI63" s="15">
        <f>AP63*Calculations!$C$47</f>
        <v>7.0098422383638725</v>
      </c>
      <c r="AJ63" s="15">
        <f>AQ63*Calculations!$C$47</f>
        <v>6.9155678899714808</v>
      </c>
      <c r="AM63" s="286" t="str">
        <f>$B$33</f>
        <v>Land occupation</v>
      </c>
      <c r="AN63" s="15">
        <f>D33</f>
        <v>14.977125950000003</v>
      </c>
      <c r="AO63" s="15">
        <f>D52</f>
        <v>8.0841271600000013</v>
      </c>
      <c r="AP63" s="15">
        <f>D71</f>
        <v>8.0437281800000004</v>
      </c>
      <c r="AQ63" s="15">
        <f>D90</f>
        <v>7.9355492499999993</v>
      </c>
    </row>
    <row r="64" spans="2:43" x14ac:dyDescent="0.25">
      <c r="B64" s="123" t="s">
        <v>553</v>
      </c>
      <c r="C64" s="11" t="s">
        <v>554</v>
      </c>
      <c r="D64" s="15">
        <f t="shared" si="59"/>
        <v>0.25871905999999995</v>
      </c>
      <c r="E64" s="178">
        <f t="shared" si="60"/>
        <v>0.25909337999999998</v>
      </c>
      <c r="F64" s="178">
        <v>1.752927E-2</v>
      </c>
      <c r="G64" s="178">
        <v>-1.790359E-2</v>
      </c>
      <c r="H64" s="179">
        <f t="shared" si="61"/>
        <v>0.27662264999999997</v>
      </c>
      <c r="I64" s="123" t="s">
        <v>553</v>
      </c>
      <c r="J64" s="11" t="s">
        <v>29</v>
      </c>
      <c r="K64" s="180">
        <f t="shared" si="62"/>
        <v>0.93663111100989027</v>
      </c>
      <c r="L64" s="180">
        <f t="shared" si="56"/>
        <v>6.3368888990109812E-2</v>
      </c>
      <c r="M64" s="180">
        <f t="shared" si="56"/>
        <v>-6.4722068131441879E-2</v>
      </c>
      <c r="AE64" s="286"/>
      <c r="AF64" s="15">
        <f>AF63-AG63</f>
        <v>0.70993163763949418</v>
      </c>
      <c r="AG64" s="15">
        <f>AG63-AH63</f>
        <v>6.0070197532623579</v>
      </c>
      <c r="AH64" s="15">
        <f t="shared" ref="AH64:AJ64" si="63">AH63-AI63</f>
        <v>3.5206370734275794E-2</v>
      </c>
      <c r="AI64" s="15">
        <f t="shared" si="63"/>
        <v>9.4274348392391794E-2</v>
      </c>
      <c r="AJ64" s="15">
        <f t="shared" si="63"/>
        <v>6.9155678899714808</v>
      </c>
      <c r="AM64" s="286"/>
      <c r="AN64" s="15">
        <f>AN63-AO63</f>
        <v>6.8929987900000018</v>
      </c>
      <c r="AO64" s="15">
        <f t="shared" ref="AO64:AQ64" si="64">AO63-AP63</f>
        <v>4.0398980000000861E-2</v>
      </c>
      <c r="AP64" s="15">
        <f t="shared" si="64"/>
        <v>0.10817893000000112</v>
      </c>
      <c r="AQ64" s="15">
        <f t="shared" si="64"/>
        <v>7.9355492499999993</v>
      </c>
    </row>
    <row r="65" spans="2:43" ht="30" x14ac:dyDescent="0.25">
      <c r="B65" s="123" t="s">
        <v>555</v>
      </c>
      <c r="C65" s="11" t="s">
        <v>556</v>
      </c>
      <c r="D65" s="15">
        <f t="shared" si="59"/>
        <v>9535.9028299000001</v>
      </c>
      <c r="E65" s="178">
        <f t="shared" si="60"/>
        <v>8986.3298333000002</v>
      </c>
      <c r="F65" s="178">
        <v>626.00058100000001</v>
      </c>
      <c r="G65" s="178">
        <v>-76.427584400000001</v>
      </c>
      <c r="H65" s="179">
        <f t="shared" si="61"/>
        <v>9612.3304143000005</v>
      </c>
      <c r="I65" s="123" t="s">
        <v>555</v>
      </c>
      <c r="J65" s="11" t="s">
        <v>29</v>
      </c>
      <c r="K65" s="180">
        <f t="shared" si="62"/>
        <v>0.93487525355259149</v>
      </c>
      <c r="L65" s="180">
        <f t="shared" si="56"/>
        <v>6.5124746447408441E-2</v>
      </c>
      <c r="M65" s="180">
        <f t="shared" si="56"/>
        <v>-7.9509943068853291E-3</v>
      </c>
      <c r="AE65" s="123" t="s">
        <v>597</v>
      </c>
      <c r="AF65" s="174">
        <f>AF64/$AF63</f>
        <v>5.1586370995458083E-2</v>
      </c>
      <c r="AG65" s="174">
        <f t="shared" ref="AG65:AJ65" si="65">AG64/$AF63</f>
        <v>0.43649322433239046</v>
      </c>
      <c r="AH65" s="174">
        <f t="shared" si="65"/>
        <v>2.5582306884374215E-3</v>
      </c>
      <c r="AI65" s="174">
        <f t="shared" si="65"/>
        <v>6.8503377701200257E-3</v>
      </c>
      <c r="AJ65" s="174">
        <f t="shared" si="65"/>
        <v>0.50251183621359397</v>
      </c>
      <c r="AM65" s="173" t="s">
        <v>597</v>
      </c>
      <c r="AN65" s="174">
        <f>AN64/$AN63</f>
        <v>0.46023508201852309</v>
      </c>
      <c r="AO65" s="174">
        <f t="shared" ref="AO65:AQ65" si="66">AO64/$AN63</f>
        <v>2.6973786649634774E-3</v>
      </c>
      <c r="AP65" s="174">
        <f t="shared" si="66"/>
        <v>7.2229431975899955E-3</v>
      </c>
      <c r="AQ65" s="174">
        <f t="shared" si="66"/>
        <v>0.52984459611892343</v>
      </c>
    </row>
    <row r="66" spans="2:43" x14ac:dyDescent="0.25">
      <c r="B66" s="123" t="s">
        <v>557</v>
      </c>
      <c r="C66" s="11" t="s">
        <v>558</v>
      </c>
      <c r="D66" s="15">
        <f t="shared" si="59"/>
        <v>7.5579970000000003E-5</v>
      </c>
      <c r="E66" s="178">
        <f t="shared" si="60"/>
        <v>7.4058030000000004E-5</v>
      </c>
      <c r="F66" s="178">
        <v>1.8566999999999999E-6</v>
      </c>
      <c r="G66" s="178">
        <v>-3.3476000000000001E-7</v>
      </c>
      <c r="H66" s="179">
        <f t="shared" si="61"/>
        <v>7.5914730000000002E-5</v>
      </c>
      <c r="I66" s="123" t="s">
        <v>557</v>
      </c>
      <c r="J66" s="11" t="s">
        <v>29</v>
      </c>
      <c r="K66" s="180">
        <f t="shared" si="62"/>
        <v>0.97554229594177577</v>
      </c>
      <c r="L66" s="180">
        <f t="shared" si="56"/>
        <v>2.4457704058224273E-2</v>
      </c>
      <c r="M66" s="180">
        <f t="shared" si="56"/>
        <v>-4.4096843919487032E-3</v>
      </c>
      <c r="AE66" s="286" t="str">
        <f>$B$34</f>
        <v>Aquatic acidification</v>
      </c>
      <c r="AF66" s="15">
        <f>D15</f>
        <v>1.57460339</v>
      </c>
      <c r="AG66" s="15">
        <f>AN66*Calculations!$C$47</f>
        <v>1.5340212159315569</v>
      </c>
      <c r="AH66" s="15">
        <f>AO66*Calculations!$C$47</f>
        <v>1.1515874665253265</v>
      </c>
      <c r="AI66" s="15">
        <f>AP66*Calculations!$C$47</f>
        <v>1.1342915865038197</v>
      </c>
      <c r="AJ66" s="15">
        <f>AQ66*Calculations!$C$47</f>
        <v>1.0860257974124292</v>
      </c>
      <c r="AM66" s="286" t="str">
        <f>$B$34</f>
        <v>Aquatic acidification</v>
      </c>
      <c r="AN66" s="15">
        <f>D34</f>
        <v>1.7602749482399997</v>
      </c>
      <c r="AO66" s="15">
        <f>D53</f>
        <v>1.3214358099999999</v>
      </c>
      <c r="AP66" s="15">
        <f>D72</f>
        <v>1.30158895</v>
      </c>
      <c r="AQ66" s="15">
        <f>D91</f>
        <v>1.24620441</v>
      </c>
    </row>
    <row r="67" spans="2:43" ht="18" x14ac:dyDescent="0.25">
      <c r="B67" s="123" t="s">
        <v>559</v>
      </c>
      <c r="C67" s="11" t="s">
        <v>560</v>
      </c>
      <c r="D67" s="15">
        <f t="shared" si="59"/>
        <v>0.13244829</v>
      </c>
      <c r="E67" s="178">
        <f t="shared" si="60"/>
        <v>0.13163933999999999</v>
      </c>
      <c r="F67" s="178">
        <v>1.60038E-3</v>
      </c>
      <c r="G67" s="178">
        <v>-7.9142999999999998E-4</v>
      </c>
      <c r="H67" s="179">
        <f t="shared" si="61"/>
        <v>0.13323972000000001</v>
      </c>
      <c r="I67" s="123" t="s">
        <v>559</v>
      </c>
      <c r="J67" s="11" t="s">
        <v>29</v>
      </c>
      <c r="K67" s="180">
        <f t="shared" si="62"/>
        <v>0.98798871687812007</v>
      </c>
      <c r="L67" s="180">
        <f t="shared" si="56"/>
        <v>1.2011283121879872E-2</v>
      </c>
      <c r="M67" s="180">
        <f t="shared" si="56"/>
        <v>-5.9398954005607336E-3</v>
      </c>
      <c r="AE67" s="286"/>
      <c r="AF67" s="15">
        <f>AF66-AG66</f>
        <v>4.0582174068443111E-2</v>
      </c>
      <c r="AG67" s="15">
        <f>AG66-AH66</f>
        <v>0.38243374940623043</v>
      </c>
      <c r="AH67" s="15">
        <f t="shared" ref="AH67:AJ67" si="67">AH66-AI66</f>
        <v>1.7295880021506838E-2</v>
      </c>
      <c r="AI67" s="15">
        <f t="shared" si="67"/>
        <v>4.8265789091390454E-2</v>
      </c>
      <c r="AJ67" s="15">
        <f t="shared" si="67"/>
        <v>1.0860257974124292</v>
      </c>
      <c r="AM67" s="286"/>
      <c r="AN67" s="15">
        <f>AN66-AO66</f>
        <v>0.43883913823999987</v>
      </c>
      <c r="AO67" s="15">
        <f t="shared" ref="AO67:AQ67" si="68">AO66-AP66</f>
        <v>1.9846859999999911E-2</v>
      </c>
      <c r="AP67" s="15">
        <f t="shared" si="68"/>
        <v>5.5384539999999927E-2</v>
      </c>
      <c r="AQ67" s="15">
        <f t="shared" si="68"/>
        <v>1.24620441</v>
      </c>
    </row>
    <row r="68" spans="2:43" ht="30" x14ac:dyDescent="0.25">
      <c r="B68" s="123" t="s">
        <v>561</v>
      </c>
      <c r="C68" s="11" t="s">
        <v>562</v>
      </c>
      <c r="D68" s="15">
        <f t="shared" si="59"/>
        <v>26657.093761</v>
      </c>
      <c r="E68" s="178">
        <f t="shared" si="60"/>
        <v>26185.480142</v>
      </c>
      <c r="F68" s="178">
        <v>727.23558800000001</v>
      </c>
      <c r="G68" s="178">
        <v>-255.62196900000001</v>
      </c>
      <c r="H68" s="179">
        <f t="shared" si="61"/>
        <v>26912.71573</v>
      </c>
      <c r="I68" s="123" t="s">
        <v>561</v>
      </c>
      <c r="J68" s="11" t="s">
        <v>29</v>
      </c>
      <c r="K68" s="180">
        <f t="shared" si="62"/>
        <v>0.97297799318002909</v>
      </c>
      <c r="L68" s="180">
        <f t="shared" si="56"/>
        <v>2.7022006819970971E-2</v>
      </c>
      <c r="M68" s="180">
        <f t="shared" si="56"/>
        <v>-9.4981855998669974E-3</v>
      </c>
      <c r="AE68" s="123" t="s">
        <v>597</v>
      </c>
      <c r="AF68" s="174">
        <f>AF67/$AF66</f>
        <v>2.5772949763840602E-2</v>
      </c>
      <c r="AG68" s="174">
        <f t="shared" ref="AG68:AJ68" si="69">AG67/$AF66</f>
        <v>0.24287623908026162</v>
      </c>
      <c r="AH68" s="174">
        <f t="shared" si="69"/>
        <v>1.098427714010373E-2</v>
      </c>
      <c r="AI68" s="174">
        <f t="shared" si="69"/>
        <v>3.0652664282267584E-2</v>
      </c>
      <c r="AJ68" s="174">
        <f t="shared" si="69"/>
        <v>0.68971386973352644</v>
      </c>
      <c r="AM68" s="173" t="s">
        <v>597</v>
      </c>
      <c r="AN68" s="174">
        <f>AN67/$AN66</f>
        <v>0.24930147343105152</v>
      </c>
      <c r="AO68" s="174">
        <f t="shared" ref="AO68:AQ68" si="70">AO67/$AN66</f>
        <v>1.1274863634140606E-2</v>
      </c>
      <c r="AP68" s="174">
        <f t="shared" si="70"/>
        <v>3.1463573378338321E-2</v>
      </c>
      <c r="AQ68" s="174">
        <f t="shared" si="70"/>
        <v>0.70796008955646961</v>
      </c>
    </row>
    <row r="69" spans="2:43" x14ac:dyDescent="0.25">
      <c r="B69" s="123" t="s">
        <v>563</v>
      </c>
      <c r="C69" s="11" t="s">
        <v>564</v>
      </c>
      <c r="D69" s="15">
        <f t="shared" si="59"/>
        <v>14098.052467899999</v>
      </c>
      <c r="E69" s="178">
        <f t="shared" si="60"/>
        <v>13987.2719805</v>
      </c>
      <c r="F69" s="178">
        <v>173.821597</v>
      </c>
      <c r="G69" s="178">
        <v>-63.041109599999999</v>
      </c>
      <c r="H69" s="179">
        <f t="shared" si="61"/>
        <v>14161.0935775</v>
      </c>
      <c r="I69" s="123" t="s">
        <v>563</v>
      </c>
      <c r="J69" s="11" t="s">
        <v>29</v>
      </c>
      <c r="K69" s="180">
        <f t="shared" si="62"/>
        <v>0.98772541145578063</v>
      </c>
      <c r="L69" s="180">
        <f t="shared" si="56"/>
        <v>1.227458854421937E-2</v>
      </c>
      <c r="M69" s="180">
        <f t="shared" si="56"/>
        <v>-4.4517119567773723E-3</v>
      </c>
      <c r="AE69" s="286" t="str">
        <f>$B$35</f>
        <v>Aquatic eutrophication</v>
      </c>
      <c r="AF69" s="15">
        <f>D16</f>
        <v>0.12121999999999999</v>
      </c>
      <c r="AG69" s="15">
        <f>AN69*Calculations!$C$47</f>
        <v>0.11877604133567483</v>
      </c>
      <c r="AH69" s="15">
        <f>AO69*Calculations!$C$47</f>
        <v>4.3247299244459858E-2</v>
      </c>
      <c r="AI69" s="15">
        <f>AP69*Calculations!$C$47</f>
        <v>4.2921030780770794E-2</v>
      </c>
      <c r="AJ69" s="15">
        <f>AQ69*Calculations!$C$47</f>
        <v>4.2572592201116428E-2</v>
      </c>
      <c r="AM69" s="286" t="str">
        <f>$B$35</f>
        <v>Aquatic eutrophication</v>
      </c>
      <c r="AN69" s="15">
        <f>D35</f>
        <v>0.13629439269999999</v>
      </c>
      <c r="AO69" s="15">
        <f>D54</f>
        <v>4.9625869999999996E-2</v>
      </c>
      <c r="AP69" s="15">
        <f>D73</f>
        <v>4.9251479999999993E-2</v>
      </c>
      <c r="AQ69" s="15">
        <f>D92</f>
        <v>4.8851649999999996E-2</v>
      </c>
    </row>
    <row r="70" spans="2:43" ht="18" x14ac:dyDescent="0.25">
      <c r="B70" s="123" t="s">
        <v>565</v>
      </c>
      <c r="C70" s="11" t="s">
        <v>566</v>
      </c>
      <c r="D70" s="15">
        <f t="shared" si="59"/>
        <v>4.0456220399999996</v>
      </c>
      <c r="E70" s="178">
        <f t="shared" si="60"/>
        <v>3.8863674000000001</v>
      </c>
      <c r="F70" s="178">
        <v>0.27328615000000001</v>
      </c>
      <c r="G70" s="178">
        <v>-0.11403151</v>
      </c>
      <c r="H70" s="179">
        <f t="shared" si="61"/>
        <v>4.1596535499999998</v>
      </c>
      <c r="I70" s="123" t="s">
        <v>565</v>
      </c>
      <c r="J70" s="11" t="s">
        <v>29</v>
      </c>
      <c r="K70" s="180">
        <f t="shared" si="62"/>
        <v>0.93430074242601291</v>
      </c>
      <c r="L70" s="180">
        <f t="shared" si="56"/>
        <v>6.5699257573987146E-2</v>
      </c>
      <c r="M70" s="180">
        <f t="shared" si="56"/>
        <v>-2.7413703720589905E-2</v>
      </c>
      <c r="AE70" s="286"/>
      <c r="AF70" s="15">
        <f>AF69-AG69</f>
        <v>2.4439586643251604E-3</v>
      </c>
      <c r="AG70" s="15">
        <f>AG69-AH69</f>
        <v>7.5528742091214976E-2</v>
      </c>
      <c r="AH70" s="15">
        <f t="shared" ref="AH70:AJ70" si="71">AH69-AI69</f>
        <v>3.2626846368906393E-4</v>
      </c>
      <c r="AI70" s="15">
        <f t="shared" si="71"/>
        <v>3.484385796543657E-4</v>
      </c>
      <c r="AJ70" s="15">
        <f t="shared" si="71"/>
        <v>4.2572592201116428E-2</v>
      </c>
      <c r="AM70" s="286"/>
      <c r="AN70" s="15">
        <f>AN69-AO69</f>
        <v>8.66685227E-2</v>
      </c>
      <c r="AO70" s="15">
        <f t="shared" ref="AO70:AQ70" si="72">AO69-AP69</f>
        <v>3.7439000000000222E-4</v>
      </c>
      <c r="AP70" s="15">
        <f t="shared" si="72"/>
        <v>3.9982999999999685E-4</v>
      </c>
      <c r="AQ70" s="15">
        <f t="shared" si="72"/>
        <v>4.8851649999999996E-2</v>
      </c>
    </row>
    <row r="71" spans="2:43" ht="30" x14ac:dyDescent="0.25">
      <c r="B71" s="123" t="s">
        <v>567</v>
      </c>
      <c r="C71" s="11" t="s">
        <v>568</v>
      </c>
      <c r="D71" s="15">
        <f t="shared" si="59"/>
        <v>8.0437281800000004</v>
      </c>
      <c r="E71" s="178">
        <f t="shared" si="60"/>
        <v>7.9355492499999993</v>
      </c>
      <c r="F71" s="178">
        <v>0.19072311</v>
      </c>
      <c r="G71" s="178">
        <v>-8.2544179999999995E-2</v>
      </c>
      <c r="H71" s="179">
        <f t="shared" si="61"/>
        <v>8.1262723599999998</v>
      </c>
      <c r="I71" s="123" t="s">
        <v>567</v>
      </c>
      <c r="J71" s="11" t="s">
        <v>29</v>
      </c>
      <c r="K71" s="180">
        <f t="shared" si="62"/>
        <v>0.97653006181052981</v>
      </c>
      <c r="L71" s="180">
        <f t="shared" si="56"/>
        <v>2.3469938189470185E-2</v>
      </c>
      <c r="M71" s="180">
        <f t="shared" si="56"/>
        <v>-1.0157693016333997E-2</v>
      </c>
      <c r="AE71" s="123" t="s">
        <v>597</v>
      </c>
      <c r="AF71" s="174">
        <f>AF70/$AF69</f>
        <v>2.0161348493030529E-2</v>
      </c>
      <c r="AG71" s="174">
        <f t="shared" ref="AG71:AJ71" si="73">AG70/$AF69</f>
        <v>0.62307162259705473</v>
      </c>
      <c r="AH71" s="174">
        <f t="shared" si="73"/>
        <v>2.6915398753428804E-3</v>
      </c>
      <c r="AI71" s="174">
        <f t="shared" si="73"/>
        <v>2.8744314441046504E-3</v>
      </c>
      <c r="AJ71" s="174">
        <f t="shared" si="73"/>
        <v>0.35120105759046716</v>
      </c>
      <c r="AM71" s="173" t="s">
        <v>597</v>
      </c>
      <c r="AN71" s="174">
        <f>AN70/$AN69</f>
        <v>0.63589206410543697</v>
      </c>
      <c r="AO71" s="174">
        <f t="shared" ref="AO71:AQ71" si="74">AO70/$AN69</f>
        <v>2.7469215173369509E-3</v>
      </c>
      <c r="AP71" s="174">
        <f t="shared" si="74"/>
        <v>2.9335762981832257E-3</v>
      </c>
      <c r="AQ71" s="174">
        <f t="shared" si="74"/>
        <v>0.35842743807904287</v>
      </c>
    </row>
    <row r="72" spans="2:43" ht="18" x14ac:dyDescent="0.25">
      <c r="B72" s="123" t="s">
        <v>569</v>
      </c>
      <c r="C72" s="11" t="s">
        <v>566</v>
      </c>
      <c r="D72" s="15">
        <f t="shared" si="59"/>
        <v>1.30158895</v>
      </c>
      <c r="E72" s="178">
        <f t="shared" si="60"/>
        <v>1.24620441</v>
      </c>
      <c r="F72" s="178">
        <v>9.3696779999999993E-2</v>
      </c>
      <c r="G72" s="178">
        <v>-3.8312239999999997E-2</v>
      </c>
      <c r="H72" s="179">
        <f t="shared" si="61"/>
        <v>1.33990119</v>
      </c>
      <c r="I72" s="123" t="s">
        <v>569</v>
      </c>
      <c r="J72" s="11" t="s">
        <v>29</v>
      </c>
      <c r="K72" s="180">
        <f t="shared" si="62"/>
        <v>0.93007187343418962</v>
      </c>
      <c r="L72" s="180">
        <f t="shared" si="56"/>
        <v>6.992812656581042E-2</v>
      </c>
      <c r="M72" s="180">
        <f t="shared" si="56"/>
        <v>-2.8593332318780907E-2</v>
      </c>
      <c r="AE72" s="286" t="str">
        <f>$B$36</f>
        <v>Global warming</v>
      </c>
      <c r="AF72" s="15">
        <f>D17</f>
        <v>327.10000002370003</v>
      </c>
      <c r="AG72" s="15">
        <f>AN72*Calculations!$C$47</f>
        <v>308.9742284692839</v>
      </c>
      <c r="AH72" s="15">
        <f>AO72*Calculations!$C$47</f>
        <v>258.06904461040233</v>
      </c>
      <c r="AI72" s="15">
        <f>AP72*Calculations!$C$47</f>
        <v>255.54388118637257</v>
      </c>
      <c r="AJ72" s="15">
        <f>AQ72*Calculations!$C$47</f>
        <v>249.77588902641156</v>
      </c>
      <c r="AM72" s="286" t="str">
        <f>$B$36</f>
        <v>Global warming</v>
      </c>
      <c r="AN72" s="15">
        <f>D36</f>
        <v>354.54502739454205</v>
      </c>
      <c r="AO72" s="15">
        <f>D55</f>
        <v>296.13180667</v>
      </c>
      <c r="AP72" s="15">
        <f>D74</f>
        <v>293.23420534000002</v>
      </c>
      <c r="AQ72" s="15">
        <f>D93</f>
        <v>286.61548847</v>
      </c>
    </row>
    <row r="73" spans="2:43" ht="18" x14ac:dyDescent="0.25">
      <c r="B73" s="123" t="s">
        <v>570</v>
      </c>
      <c r="C73" s="11" t="s">
        <v>571</v>
      </c>
      <c r="D73" s="15">
        <f t="shared" si="59"/>
        <v>4.9251479999999993E-2</v>
      </c>
      <c r="E73" s="178">
        <f t="shared" si="60"/>
        <v>4.8851649999999996E-2</v>
      </c>
      <c r="F73" s="178">
        <v>1.7674699999999999E-3</v>
      </c>
      <c r="G73" s="178">
        <v>-1.36764E-3</v>
      </c>
      <c r="H73" s="179">
        <f t="shared" si="61"/>
        <v>5.0619119999999997E-2</v>
      </c>
      <c r="I73" s="123" t="s">
        <v>570</v>
      </c>
      <c r="J73" s="11" t="s">
        <v>29</v>
      </c>
      <c r="K73" s="180">
        <f t="shared" si="62"/>
        <v>0.96508295679577205</v>
      </c>
      <c r="L73" s="180">
        <f t="shared" si="56"/>
        <v>3.491704320422797E-2</v>
      </c>
      <c r="M73" s="180">
        <f t="shared" si="56"/>
        <v>-2.7018249230725468E-2</v>
      </c>
      <c r="AE73" s="286"/>
      <c r="AF73" s="15">
        <f>AF72-AG72</f>
        <v>18.125771554416133</v>
      </c>
      <c r="AG73" s="15">
        <f>AG72-AH72</f>
        <v>50.905183858881571</v>
      </c>
      <c r="AH73" s="15">
        <f t="shared" ref="AH73:AJ73" si="75">AH72-AI72</f>
        <v>2.5251634240297562</v>
      </c>
      <c r="AI73" s="15">
        <f t="shared" si="75"/>
        <v>5.7679921599610111</v>
      </c>
      <c r="AJ73" s="15">
        <f t="shared" si="75"/>
        <v>249.77588902641156</v>
      </c>
      <c r="AM73" s="286"/>
      <c r="AN73" s="15">
        <f>AN72-AO72</f>
        <v>58.413220724542043</v>
      </c>
      <c r="AO73" s="15">
        <f t="shared" ref="AO73:AQ73" si="76">AO72-AP72</f>
        <v>2.8976013299999863</v>
      </c>
      <c r="AP73" s="15">
        <f t="shared" si="76"/>
        <v>6.6187168700000143</v>
      </c>
      <c r="AQ73" s="15">
        <f t="shared" si="76"/>
        <v>286.61548847</v>
      </c>
    </row>
    <row r="74" spans="2:43" ht="30" x14ac:dyDescent="0.25">
      <c r="B74" s="171" t="s">
        <v>572</v>
      </c>
      <c r="C74" s="161" t="s">
        <v>573</v>
      </c>
      <c r="D74" s="185">
        <f t="shared" si="59"/>
        <v>293.23420534000002</v>
      </c>
      <c r="E74" s="186">
        <f t="shared" si="60"/>
        <v>286.61548847</v>
      </c>
      <c r="F74" s="186">
        <v>13.679540100000001</v>
      </c>
      <c r="G74" s="186">
        <v>-7.0608232299999996</v>
      </c>
      <c r="H74" s="179">
        <f t="shared" si="61"/>
        <v>300.29502857</v>
      </c>
      <c r="I74" s="123" t="s">
        <v>572</v>
      </c>
      <c r="J74" s="11" t="s">
        <v>29</v>
      </c>
      <c r="K74" s="180">
        <f t="shared" si="62"/>
        <v>0.95444633177864535</v>
      </c>
      <c r="L74" s="180">
        <f t="shared" si="56"/>
        <v>4.5553668221354669E-2</v>
      </c>
      <c r="M74" s="180">
        <f t="shared" si="56"/>
        <v>-2.351295412256248E-2</v>
      </c>
      <c r="AE74" s="123" t="s">
        <v>597</v>
      </c>
      <c r="AF74" s="174">
        <f>AF73/$AF72</f>
        <v>5.5413548007040139E-2</v>
      </c>
      <c r="AG74" s="174">
        <f t="shared" ref="AG74:AJ74" si="77">AG73/$AF72</f>
        <v>0.15562575314947488</v>
      </c>
      <c r="AH74" s="174">
        <f t="shared" si="77"/>
        <v>7.719851494487299E-3</v>
      </c>
      <c r="AI74" s="174">
        <f t="shared" si="77"/>
        <v>1.763372717683611E-2</v>
      </c>
      <c r="AJ74" s="174">
        <f t="shared" si="77"/>
        <v>0.76360712017216159</v>
      </c>
      <c r="AM74" s="173" t="s">
        <v>597</v>
      </c>
      <c r="AN74" s="174">
        <f>AN73/$AN72</f>
        <v>0.16475543643583271</v>
      </c>
      <c r="AO74" s="174">
        <f t="shared" ref="AO74:AQ74" si="78">AO73/$AN72</f>
        <v>8.1727315463812726E-3</v>
      </c>
      <c r="AP74" s="174">
        <f t="shared" si="78"/>
        <v>1.8668198278337791E-2</v>
      </c>
      <c r="AQ74" s="174">
        <f t="shared" si="78"/>
        <v>0.80840363373944824</v>
      </c>
    </row>
    <row r="75" spans="2:43" x14ac:dyDescent="0.25">
      <c r="B75" s="123" t="s">
        <v>574</v>
      </c>
      <c r="C75" s="11" t="s">
        <v>575</v>
      </c>
      <c r="D75" s="15">
        <f t="shared" si="59"/>
        <v>7395.1687651000002</v>
      </c>
      <c r="E75" s="178">
        <f t="shared" si="60"/>
        <v>7209.2310362999997</v>
      </c>
      <c r="F75" s="178">
        <v>278.581006</v>
      </c>
      <c r="G75" s="178">
        <v>-92.6432772</v>
      </c>
      <c r="H75" s="179">
        <f t="shared" si="61"/>
        <v>7487.8120423</v>
      </c>
      <c r="I75" s="123" t="s">
        <v>574</v>
      </c>
      <c r="J75" s="11" t="s">
        <v>29</v>
      </c>
      <c r="K75" s="180">
        <f t="shared" si="62"/>
        <v>0.96279540613115744</v>
      </c>
      <c r="L75" s="180">
        <f t="shared" si="56"/>
        <v>3.7204593868842555E-2</v>
      </c>
      <c r="M75" s="180">
        <f t="shared" si="56"/>
        <v>-1.2372543097588645E-2</v>
      </c>
      <c r="AE75" s="286" t="str">
        <f>$B$37</f>
        <v>Non-renewable energy</v>
      </c>
      <c r="AF75" s="15">
        <f>D18</f>
        <v>7418.03</v>
      </c>
      <c r="AG75" s="15">
        <f>AN75*Calculations!$C$47</f>
        <v>7122.1590294153411</v>
      </c>
      <c r="AH75" s="15">
        <f>AO75*Calculations!$C$47</f>
        <v>6496.0686569699046</v>
      </c>
      <c r="AI75" s="15">
        <f>AP75*Calculations!$C$47</f>
        <v>6444.6442258354855</v>
      </c>
      <c r="AJ75" s="15">
        <f>AQ75*Calculations!$C$47</f>
        <v>6282.6056641286814</v>
      </c>
      <c r="AM75" s="286" t="str">
        <f>$B$37</f>
        <v>Non-renewable energy</v>
      </c>
      <c r="AN75" s="15">
        <f>D37</f>
        <v>8172.6106436200007</v>
      </c>
      <c r="AO75" s="15">
        <f>D56</f>
        <v>7454.1778172000004</v>
      </c>
      <c r="AP75" s="15">
        <f>D75</f>
        <v>7395.1687651000002</v>
      </c>
      <c r="AQ75" s="15">
        <f>D94</f>
        <v>7209.2310362999997</v>
      </c>
    </row>
    <row r="76" spans="2:43" x14ac:dyDescent="0.25">
      <c r="B76" s="123" t="s">
        <v>576</v>
      </c>
      <c r="C76" s="11" t="s">
        <v>577</v>
      </c>
      <c r="D76" s="15">
        <f t="shared" si="59"/>
        <v>5.6440420899999992</v>
      </c>
      <c r="E76" s="178">
        <f t="shared" si="60"/>
        <v>5.55566622</v>
      </c>
      <c r="F76" s="178">
        <v>0.15541529000000001</v>
      </c>
      <c r="G76" s="178">
        <v>-6.7039420000000002E-2</v>
      </c>
      <c r="H76" s="179">
        <f t="shared" si="61"/>
        <v>5.7110815099999996</v>
      </c>
      <c r="I76" s="123" t="s">
        <v>576</v>
      </c>
      <c r="J76" s="11" t="s">
        <v>29</v>
      </c>
      <c r="K76" s="180">
        <f t="shared" si="62"/>
        <v>0.97278706498447443</v>
      </c>
      <c r="L76" s="180">
        <f t="shared" si="56"/>
        <v>2.7212935015525637E-2</v>
      </c>
      <c r="M76" s="180">
        <f t="shared" si="56"/>
        <v>-1.1738480685771198E-2</v>
      </c>
      <c r="AE76" s="286"/>
      <c r="AF76" s="15">
        <f>AF75-AG75</f>
        <v>295.87097058465861</v>
      </c>
      <c r="AG76" s="15">
        <f>AG75-AH75</f>
        <v>626.09037244543651</v>
      </c>
      <c r="AH76" s="15">
        <f t="shared" ref="AH76:AJ76" si="79">AH75-AI75</f>
        <v>51.424431134419137</v>
      </c>
      <c r="AI76" s="15">
        <f t="shared" si="79"/>
        <v>162.0385617068041</v>
      </c>
      <c r="AJ76" s="15">
        <f t="shared" si="79"/>
        <v>6282.6056641286814</v>
      </c>
      <c r="AM76" s="286"/>
      <c r="AN76" s="15">
        <f>AN75-AO75</f>
        <v>718.43282642000031</v>
      </c>
      <c r="AO76" s="15">
        <f t="shared" ref="AO76:AQ76" si="80">AO75-AP75</f>
        <v>59.00905210000019</v>
      </c>
      <c r="AP76" s="15">
        <f t="shared" si="80"/>
        <v>185.93772880000051</v>
      </c>
      <c r="AQ76" s="15">
        <f t="shared" si="80"/>
        <v>7209.2310362999997</v>
      </c>
    </row>
    <row r="77" spans="2:43" ht="30" x14ac:dyDescent="0.25">
      <c r="AE77" s="123" t="s">
        <v>597</v>
      </c>
      <c r="AF77" s="174">
        <f>AF76/$AF75</f>
        <v>3.98853833948715E-2</v>
      </c>
      <c r="AG77" s="174">
        <f t="shared" ref="AG77:AJ77" si="81">AG76/$AF75</f>
        <v>8.4401164789767169E-2</v>
      </c>
      <c r="AH77" s="174">
        <f t="shared" si="81"/>
        <v>6.9323568567960956E-3</v>
      </c>
      <c r="AI77" s="174">
        <f t="shared" si="81"/>
        <v>2.1843880613424873E-2</v>
      </c>
      <c r="AJ77" s="174">
        <f t="shared" si="81"/>
        <v>0.84693721434514035</v>
      </c>
      <c r="AM77" s="173" t="s">
        <v>597</v>
      </c>
      <c r="AN77" s="174">
        <f>AN76/$AN75</f>
        <v>8.790738452477842E-2</v>
      </c>
      <c r="AO77" s="174">
        <f t="shared" ref="AO77:AQ77" si="82">AO76/$AN75</f>
        <v>7.2203430058259254E-3</v>
      </c>
      <c r="AP77" s="174">
        <f t="shared" si="82"/>
        <v>2.2751325972583065E-2</v>
      </c>
      <c r="AQ77" s="174">
        <f t="shared" si="82"/>
        <v>0.88212094649681261</v>
      </c>
    </row>
    <row r="78" spans="2:43" x14ac:dyDescent="0.25">
      <c r="B78" s="282" t="s">
        <v>625</v>
      </c>
      <c r="C78" s="282"/>
      <c r="D78" s="282"/>
      <c r="E78" s="282"/>
      <c r="F78" s="282"/>
      <c r="G78" s="282"/>
      <c r="H78" s="282"/>
      <c r="I78" s="282"/>
      <c r="J78" s="282"/>
      <c r="K78" s="282"/>
      <c r="L78" s="282"/>
      <c r="M78" s="282"/>
      <c r="N78" s="282"/>
      <c r="O78" s="282"/>
      <c r="P78" s="282"/>
      <c r="Q78" s="282"/>
      <c r="AE78" s="286" t="str">
        <f>$B$38</f>
        <v>Mineral extraction</v>
      </c>
      <c r="AF78" s="15">
        <f>D19</f>
        <v>10.286999999999999</v>
      </c>
      <c r="AG78" s="15">
        <f>AN78*Calculations!$C$47</f>
        <v>9.8277655905854093</v>
      </c>
      <c r="AH78" s="15">
        <f>AO78*Calculations!$C$47</f>
        <v>4.947284183944145</v>
      </c>
      <c r="AI78" s="15">
        <f>AP78*Calculations!$C$47</f>
        <v>4.9185954264289302</v>
      </c>
      <c r="AJ78" s="15">
        <f>AQ78*Calculations!$C$47</f>
        <v>4.84157878781122</v>
      </c>
      <c r="AM78" s="286" t="str">
        <f>$B$38</f>
        <v>Mineral extraction</v>
      </c>
      <c r="AN78" s="15">
        <f>D38</f>
        <v>11.277268779999998</v>
      </c>
      <c r="AO78" s="15">
        <f>D57</f>
        <v>5.6769621699999995</v>
      </c>
      <c r="AP78" s="15">
        <f>D76</f>
        <v>5.6440420899999992</v>
      </c>
      <c r="AQ78" s="15">
        <f>D95</f>
        <v>5.55566622</v>
      </c>
    </row>
    <row r="79" spans="2:43" x14ac:dyDescent="0.25">
      <c r="AE79" s="286"/>
      <c r="AF79" s="15">
        <f>AF78-AG78</f>
        <v>0.45923440941458971</v>
      </c>
      <c r="AG79" s="15">
        <f>AG78-AH78</f>
        <v>4.8804814066412643</v>
      </c>
      <c r="AH79" s="15">
        <f t="shared" ref="AH79:AJ79" si="83">AH78-AI78</f>
        <v>2.8688757515214824E-2</v>
      </c>
      <c r="AI79" s="15">
        <f t="shared" si="83"/>
        <v>7.7016638617710242E-2</v>
      </c>
      <c r="AJ79" s="15">
        <f t="shared" si="83"/>
        <v>4.84157878781122</v>
      </c>
      <c r="AM79" s="286"/>
      <c r="AN79" s="15">
        <f>AN78-AO78</f>
        <v>5.6003066099999987</v>
      </c>
      <c r="AO79" s="15">
        <f t="shared" ref="AO79:AQ79" si="84">AO78-AP78</f>
        <v>3.292008000000024E-2</v>
      </c>
      <c r="AP79" s="15">
        <f t="shared" si="84"/>
        <v>8.8375869999999246E-2</v>
      </c>
      <c r="AQ79" s="15">
        <f t="shared" si="84"/>
        <v>5.55566622</v>
      </c>
    </row>
    <row r="80" spans="2:43" ht="32.450000000000003" customHeight="1" x14ac:dyDescent="0.25">
      <c r="B80" s="162" t="s">
        <v>547</v>
      </c>
      <c r="C80" s="162" t="s">
        <v>337</v>
      </c>
      <c r="D80" s="162" t="s">
        <v>213</v>
      </c>
      <c r="E80" s="162" t="s">
        <v>596</v>
      </c>
      <c r="F80" s="162" t="s">
        <v>585</v>
      </c>
      <c r="G80" s="162" t="s">
        <v>586</v>
      </c>
      <c r="H80" s="162" t="s">
        <v>209</v>
      </c>
      <c r="I80" s="162" t="s">
        <v>587</v>
      </c>
      <c r="J80" s="162" t="s">
        <v>581</v>
      </c>
      <c r="L80" s="122" t="s">
        <v>547</v>
      </c>
      <c r="M80" s="122" t="s">
        <v>337</v>
      </c>
      <c r="N80" s="162" t="s">
        <v>596</v>
      </c>
      <c r="O80" s="162" t="s">
        <v>585</v>
      </c>
      <c r="P80" s="162" t="s">
        <v>586</v>
      </c>
      <c r="Q80" s="162" t="s">
        <v>209</v>
      </c>
      <c r="R80" s="162" t="s">
        <v>587</v>
      </c>
      <c r="S80" s="162" t="s">
        <v>581</v>
      </c>
      <c r="AE80" s="123" t="s">
        <v>597</v>
      </c>
      <c r="AF80" s="174">
        <f>AF79/$AF78</f>
        <v>4.4642209528005225E-2</v>
      </c>
      <c r="AG80" s="174">
        <f t="shared" ref="AG80:AJ80" si="85">AG79/$AF78</f>
        <v>0.47443194387491638</v>
      </c>
      <c r="AH80" s="174">
        <f t="shared" si="85"/>
        <v>2.7888361539044255E-3</v>
      </c>
      <c r="AI80" s="174">
        <f t="shared" si="85"/>
        <v>7.4867929053864342E-3</v>
      </c>
      <c r="AJ80" s="174">
        <f t="shared" si="85"/>
        <v>0.47065021753778752</v>
      </c>
      <c r="AM80" s="173" t="s">
        <v>597</v>
      </c>
      <c r="AN80" s="174">
        <f>AN79/$AN78</f>
        <v>0.49660132424368797</v>
      </c>
      <c r="AO80" s="174">
        <f t="shared" ref="AO80:AQ80" si="86">AO79/$AN78</f>
        <v>2.9191536215207813E-3</v>
      </c>
      <c r="AP80" s="174">
        <f t="shared" si="86"/>
        <v>7.8366377288738576E-3</v>
      </c>
      <c r="AQ80" s="174">
        <f t="shared" si="86"/>
        <v>0.49264288440591736</v>
      </c>
    </row>
    <row r="81" spans="2:19" ht="18" x14ac:dyDescent="0.25">
      <c r="B81" s="123" t="s">
        <v>550</v>
      </c>
      <c r="C81" s="11" t="s">
        <v>551</v>
      </c>
      <c r="D81" s="15">
        <f t="shared" ref="D81:D95" si="87">SUM(F81:J81)</f>
        <v>4.0402066699999999</v>
      </c>
      <c r="E81" s="178">
        <v>0</v>
      </c>
      <c r="F81" s="178">
        <v>1.38</v>
      </c>
      <c r="G81" s="178">
        <v>0.96799999999999997</v>
      </c>
      <c r="H81" s="178">
        <v>0.93522095000000005</v>
      </c>
      <c r="I81" s="178">
        <v>8.8713840000000002E-2</v>
      </c>
      <c r="J81" s="178">
        <v>0.66827188000000004</v>
      </c>
      <c r="L81" s="123" t="s">
        <v>550</v>
      </c>
      <c r="M81" s="11" t="s">
        <v>29</v>
      </c>
      <c r="N81" s="180">
        <f t="shared" ref="N81:S81" si="88">E81/$D81</f>
        <v>0</v>
      </c>
      <c r="O81" s="180">
        <f t="shared" si="88"/>
        <v>0.34156668525078199</v>
      </c>
      <c r="P81" s="180">
        <f t="shared" si="88"/>
        <v>0.23959170385707027</v>
      </c>
      <c r="Q81" s="180">
        <f t="shared" si="88"/>
        <v>0.23147849265839662</v>
      </c>
      <c r="R81" s="180">
        <f t="shared" si="88"/>
        <v>2.1957748017875534E-2</v>
      </c>
      <c r="S81" s="180">
        <f t="shared" si="88"/>
        <v>0.16540537021587562</v>
      </c>
    </row>
    <row r="82" spans="2:19" ht="18" x14ac:dyDescent="0.25">
      <c r="B82" s="123" t="s">
        <v>552</v>
      </c>
      <c r="C82" s="11" t="s">
        <v>551</v>
      </c>
      <c r="D82" s="15">
        <f t="shared" si="87"/>
        <v>4.6500427199999992</v>
      </c>
      <c r="E82" s="178">
        <v>0</v>
      </c>
      <c r="F82" s="178">
        <v>3.11</v>
      </c>
      <c r="G82" s="178">
        <v>0.53300000000000003</v>
      </c>
      <c r="H82" s="178">
        <v>0.45605932999999999</v>
      </c>
      <c r="I82" s="178">
        <v>0.29878788000000001</v>
      </c>
      <c r="J82" s="178">
        <v>0.25219551000000001</v>
      </c>
      <c r="L82" s="123" t="s">
        <v>552</v>
      </c>
      <c r="M82" s="11" t="s">
        <v>29</v>
      </c>
      <c r="N82" s="180">
        <f t="shared" ref="N82:N95" si="89">E82/$D82</f>
        <v>0</v>
      </c>
      <c r="O82" s="180">
        <f t="shared" ref="O82:O95" si="90">F82/$D82</f>
        <v>0.66881105986914469</v>
      </c>
      <c r="P82" s="180">
        <f t="shared" ref="P82:P95" si="91">G82/$D82</f>
        <v>0.11462260286503349</v>
      </c>
      <c r="Q82" s="180">
        <f t="shared" ref="Q82:Q95" si="92">H82/$D82</f>
        <v>9.8076374231675895E-2</v>
      </c>
      <c r="R82" s="180">
        <f t="shared" ref="R82:R95" si="93">I82/$D82</f>
        <v>6.4254867748827924E-2</v>
      </c>
      <c r="S82" s="180">
        <f t="shared" ref="S82:S95" si="94">J82/$D82</f>
        <v>5.4235095285318162E-2</v>
      </c>
    </row>
    <row r="83" spans="2:19" x14ac:dyDescent="0.25">
      <c r="B83" s="123" t="s">
        <v>553</v>
      </c>
      <c r="C83" s="11" t="s">
        <v>554</v>
      </c>
      <c r="D83" s="15">
        <f t="shared" si="87"/>
        <v>0.25909337999999998</v>
      </c>
      <c r="E83" s="178">
        <v>0</v>
      </c>
      <c r="F83" s="178">
        <v>0.109</v>
      </c>
      <c r="G83" s="178">
        <v>7.1099999999999997E-2</v>
      </c>
      <c r="H83" s="178">
        <v>1.8852520000000001E-2</v>
      </c>
      <c r="I83" s="178">
        <v>3.7448400000000001E-3</v>
      </c>
      <c r="J83" s="178">
        <v>5.6396019999999998E-2</v>
      </c>
      <c r="L83" s="123" t="s">
        <v>553</v>
      </c>
      <c r="M83" s="11" t="s">
        <v>29</v>
      </c>
      <c r="N83" s="180">
        <f t="shared" si="89"/>
        <v>0</v>
      </c>
      <c r="O83" s="180">
        <f t="shared" si="90"/>
        <v>0.42069774225802298</v>
      </c>
      <c r="P83" s="180">
        <f t="shared" si="91"/>
        <v>0.27441843554628836</v>
      </c>
      <c r="Q83" s="180">
        <f t="shared" si="92"/>
        <v>7.2763418347469938E-2</v>
      </c>
      <c r="R83" s="180">
        <f t="shared" si="93"/>
        <v>1.4453630579059953E-2</v>
      </c>
      <c r="S83" s="180">
        <f t="shared" si="94"/>
        <v>0.21766677326915879</v>
      </c>
    </row>
    <row r="84" spans="2:19" x14ac:dyDescent="0.25">
      <c r="B84" s="123" t="s">
        <v>555</v>
      </c>
      <c r="C84" s="11" t="s">
        <v>556</v>
      </c>
      <c r="D84" s="15">
        <f t="shared" si="87"/>
        <v>8986.3298333000002</v>
      </c>
      <c r="E84" s="178">
        <v>0</v>
      </c>
      <c r="F84" s="178">
        <v>4160</v>
      </c>
      <c r="G84" s="178">
        <v>2270</v>
      </c>
      <c r="H84" s="178">
        <v>520.23194799999999</v>
      </c>
      <c r="I84" s="178">
        <v>22.0983053</v>
      </c>
      <c r="J84" s="178">
        <v>2013.9995799999999</v>
      </c>
      <c r="L84" s="123" t="s">
        <v>555</v>
      </c>
      <c r="M84" s="11" t="s">
        <v>29</v>
      </c>
      <c r="N84" s="180">
        <f t="shared" si="89"/>
        <v>0</v>
      </c>
      <c r="O84" s="180">
        <f t="shared" si="90"/>
        <v>0.46292536298685422</v>
      </c>
      <c r="P84" s="180">
        <f t="shared" si="91"/>
        <v>0.25260590720676901</v>
      </c>
      <c r="Q84" s="180">
        <f t="shared" si="92"/>
        <v>5.7891481578187083E-2</v>
      </c>
      <c r="R84" s="180">
        <f t="shared" si="93"/>
        <v>2.4591024044223137E-3</v>
      </c>
      <c r="S84" s="180">
        <f t="shared" si="94"/>
        <v>0.2241181458237673</v>
      </c>
    </row>
    <row r="85" spans="2:19" x14ac:dyDescent="0.25">
      <c r="B85" s="123" t="s">
        <v>557</v>
      </c>
      <c r="C85" s="11" t="s">
        <v>558</v>
      </c>
      <c r="D85" s="15">
        <f t="shared" si="87"/>
        <v>7.4058030000000004E-5</v>
      </c>
      <c r="E85" s="178">
        <v>0</v>
      </c>
      <c r="F85" s="178">
        <v>3.1999999999999999E-5</v>
      </c>
      <c r="G85" s="178">
        <v>3.43E-5</v>
      </c>
      <c r="H85" s="178">
        <v>1.632E-6</v>
      </c>
      <c r="I85" s="178">
        <v>1.5253E-7</v>
      </c>
      <c r="J85" s="178">
        <v>5.9734999999999996E-6</v>
      </c>
      <c r="L85" s="123" t="s">
        <v>557</v>
      </c>
      <c r="M85" s="11" t="s">
        <v>29</v>
      </c>
      <c r="N85" s="180">
        <f t="shared" si="89"/>
        <v>0</v>
      </c>
      <c r="O85" s="180">
        <f t="shared" si="90"/>
        <v>0.43209358931097674</v>
      </c>
      <c r="P85" s="180">
        <f t="shared" si="91"/>
        <v>0.46315031604270324</v>
      </c>
      <c r="Q85" s="180">
        <f t="shared" si="92"/>
        <v>2.2036773054859817E-2</v>
      </c>
      <c r="R85" s="180">
        <f t="shared" si="93"/>
        <v>2.0596010993001027E-3</v>
      </c>
      <c r="S85" s="180">
        <f t="shared" si="94"/>
        <v>8.0659720492159998E-2</v>
      </c>
    </row>
    <row r="86" spans="2:19" ht="18" x14ac:dyDescent="0.25">
      <c r="B86" s="123" t="s">
        <v>559</v>
      </c>
      <c r="C86" s="11" t="s">
        <v>560</v>
      </c>
      <c r="D86" s="15">
        <f t="shared" si="87"/>
        <v>0.13163933999999999</v>
      </c>
      <c r="E86" s="178">
        <v>0</v>
      </c>
      <c r="F86" s="178">
        <v>7.9699999999999993E-2</v>
      </c>
      <c r="G86" s="178">
        <v>4.02E-2</v>
      </c>
      <c r="H86" s="178">
        <v>5.9850499999999996E-3</v>
      </c>
      <c r="I86" s="178">
        <v>6.0548000000000004E-4</v>
      </c>
      <c r="J86" s="178">
        <v>5.1488100000000002E-3</v>
      </c>
      <c r="L86" s="123" t="s">
        <v>559</v>
      </c>
      <c r="M86" s="11" t="s">
        <v>29</v>
      </c>
      <c r="N86" s="180">
        <f t="shared" si="89"/>
        <v>0</v>
      </c>
      <c r="O86" s="180">
        <f t="shared" si="90"/>
        <v>0.60544211175777696</v>
      </c>
      <c r="P86" s="180">
        <f t="shared" si="91"/>
        <v>0.30537983554156378</v>
      </c>
      <c r="Q86" s="180">
        <f t="shared" si="92"/>
        <v>4.5465512057413837E-2</v>
      </c>
      <c r="R86" s="180">
        <f t="shared" si="93"/>
        <v>4.5995368861618422E-3</v>
      </c>
      <c r="S86" s="180">
        <f t="shared" si="94"/>
        <v>3.9113003757083563E-2</v>
      </c>
    </row>
    <row r="87" spans="2:19" x14ac:dyDescent="0.25">
      <c r="B87" s="123" t="s">
        <v>561</v>
      </c>
      <c r="C87" s="11" t="s">
        <v>562</v>
      </c>
      <c r="D87" s="15">
        <f t="shared" si="87"/>
        <v>26185.480142</v>
      </c>
      <c r="E87" s="178">
        <v>0</v>
      </c>
      <c r="F87" s="178">
        <v>15300</v>
      </c>
      <c r="G87" s="178">
        <v>7360</v>
      </c>
      <c r="H87" s="178">
        <v>1056.99965</v>
      </c>
      <c r="I87" s="178">
        <v>128.78274200000001</v>
      </c>
      <c r="J87" s="178">
        <v>2339.6977499999998</v>
      </c>
      <c r="L87" s="123" t="s">
        <v>561</v>
      </c>
      <c r="M87" s="11" t="s">
        <v>29</v>
      </c>
      <c r="N87" s="180">
        <f t="shared" si="89"/>
        <v>0</v>
      </c>
      <c r="O87" s="180">
        <f t="shared" si="90"/>
        <v>0.58429327692409516</v>
      </c>
      <c r="P87" s="180">
        <f t="shared" si="91"/>
        <v>0.28107179857263659</v>
      </c>
      <c r="Q87" s="180">
        <f t="shared" si="92"/>
        <v>4.0365868575563506E-2</v>
      </c>
      <c r="R87" s="180">
        <f t="shared" si="93"/>
        <v>4.918097407480412E-3</v>
      </c>
      <c r="S87" s="180">
        <f t="shared" si="94"/>
        <v>8.935095852022433E-2</v>
      </c>
    </row>
    <row r="88" spans="2:19" x14ac:dyDescent="0.25">
      <c r="B88" s="123" t="s">
        <v>563</v>
      </c>
      <c r="C88" s="11" t="s">
        <v>564</v>
      </c>
      <c r="D88" s="15">
        <f t="shared" si="87"/>
        <v>13987.2719805</v>
      </c>
      <c r="E88" s="178">
        <v>0</v>
      </c>
      <c r="F88" s="178">
        <v>11400</v>
      </c>
      <c r="G88" s="178">
        <v>1660</v>
      </c>
      <c r="H88" s="178">
        <v>322.54651799999999</v>
      </c>
      <c r="I88" s="178">
        <v>45.498157499999998</v>
      </c>
      <c r="J88" s="178">
        <v>559.227305</v>
      </c>
      <c r="L88" s="123" t="s">
        <v>563</v>
      </c>
      <c r="M88" s="11" t="s">
        <v>29</v>
      </c>
      <c r="N88" s="180">
        <f t="shared" si="89"/>
        <v>0</v>
      </c>
      <c r="O88" s="180">
        <f t="shared" si="90"/>
        <v>0.81502669111553849</v>
      </c>
      <c r="P88" s="180">
        <f t="shared" si="91"/>
        <v>0.11867932519752579</v>
      </c>
      <c r="Q88" s="180">
        <f t="shared" si="92"/>
        <v>2.3060001868103374E-2</v>
      </c>
      <c r="R88" s="180">
        <f t="shared" si="93"/>
        <v>3.2528256806209316E-3</v>
      </c>
      <c r="S88" s="180">
        <f t="shared" si="94"/>
        <v>3.9981156138211411E-2</v>
      </c>
    </row>
    <row r="89" spans="2:19" ht="18" x14ac:dyDescent="0.25">
      <c r="B89" s="123" t="s">
        <v>565</v>
      </c>
      <c r="C89" s="11" t="s">
        <v>566</v>
      </c>
      <c r="D89" s="15">
        <f t="shared" si="87"/>
        <v>3.8863674000000001</v>
      </c>
      <c r="E89" s="178">
        <v>0</v>
      </c>
      <c r="F89" s="178">
        <v>1.53</v>
      </c>
      <c r="G89" s="178">
        <v>1.17</v>
      </c>
      <c r="H89" s="178">
        <v>0.25278430000000002</v>
      </c>
      <c r="I89" s="178">
        <v>5.435359E-2</v>
      </c>
      <c r="J89" s="178">
        <v>0.87922951000000005</v>
      </c>
      <c r="L89" s="123" t="s">
        <v>565</v>
      </c>
      <c r="M89" s="11" t="s">
        <v>29</v>
      </c>
      <c r="N89" s="180">
        <f t="shared" si="89"/>
        <v>0</v>
      </c>
      <c r="O89" s="180">
        <f t="shared" si="90"/>
        <v>0.39368382927460743</v>
      </c>
      <c r="P89" s="180">
        <f t="shared" si="91"/>
        <v>0.30105234003352332</v>
      </c>
      <c r="Q89" s="180">
        <f t="shared" si="92"/>
        <v>6.5043850460458269E-2</v>
      </c>
      <c r="R89" s="180">
        <f t="shared" si="93"/>
        <v>1.3985705520275823E-2</v>
      </c>
      <c r="S89" s="180">
        <f t="shared" si="94"/>
        <v>0.22623427471113514</v>
      </c>
    </row>
    <row r="90" spans="2:19" x14ac:dyDescent="0.25">
      <c r="B90" s="123" t="s">
        <v>567</v>
      </c>
      <c r="C90" s="11" t="s">
        <v>568</v>
      </c>
      <c r="D90" s="15">
        <f t="shared" si="87"/>
        <v>7.9355492499999993</v>
      </c>
      <c r="E90" s="178">
        <v>0</v>
      </c>
      <c r="F90" s="178">
        <v>6.34</v>
      </c>
      <c r="G90" s="178">
        <v>0.64300000000000002</v>
      </c>
      <c r="H90" s="178">
        <v>0.31550223999999999</v>
      </c>
      <c r="I90" s="178">
        <v>2.3443350000000002E-2</v>
      </c>
      <c r="J90" s="178">
        <v>0.61360366</v>
      </c>
      <c r="L90" s="123" t="s">
        <v>567</v>
      </c>
      <c r="M90" s="11" t="s">
        <v>29</v>
      </c>
      <c r="N90" s="180">
        <f t="shared" si="89"/>
        <v>0</v>
      </c>
      <c r="O90" s="180">
        <f t="shared" si="90"/>
        <v>0.79893650713591124</v>
      </c>
      <c r="P90" s="180">
        <f t="shared" si="91"/>
        <v>8.1027787711102681E-2</v>
      </c>
      <c r="Q90" s="180">
        <f t="shared" si="92"/>
        <v>3.975808479797413E-2</v>
      </c>
      <c r="R90" s="180">
        <f t="shared" si="93"/>
        <v>2.9542189534013672E-3</v>
      </c>
      <c r="S90" s="180">
        <f t="shared" si="94"/>
        <v>7.7323401401610606E-2</v>
      </c>
    </row>
    <row r="91" spans="2:19" ht="18" x14ac:dyDescent="0.25">
      <c r="B91" s="123" t="s">
        <v>569</v>
      </c>
      <c r="C91" s="11" t="s">
        <v>566</v>
      </c>
      <c r="D91" s="15">
        <f t="shared" si="87"/>
        <v>1.24620441</v>
      </c>
      <c r="E91" s="178">
        <v>0</v>
      </c>
      <c r="F91" s="178">
        <v>0.42599999999999999</v>
      </c>
      <c r="G91" s="178">
        <v>0.42099999999999999</v>
      </c>
      <c r="H91" s="178">
        <v>8.2251320000000003E-2</v>
      </c>
      <c r="I91" s="178">
        <v>1.550724E-2</v>
      </c>
      <c r="J91" s="178">
        <v>0.30144585000000002</v>
      </c>
      <c r="L91" s="123" t="s">
        <v>569</v>
      </c>
      <c r="M91" s="11" t="s">
        <v>29</v>
      </c>
      <c r="N91" s="180">
        <f t="shared" si="89"/>
        <v>0</v>
      </c>
      <c r="O91" s="180">
        <f t="shared" si="90"/>
        <v>0.34183798145923749</v>
      </c>
      <c r="P91" s="180">
        <f t="shared" si="91"/>
        <v>0.33782579857826051</v>
      </c>
      <c r="Q91" s="180">
        <f t="shared" si="92"/>
        <v>6.6001467608351669E-2</v>
      </c>
      <c r="R91" s="180">
        <f t="shared" si="93"/>
        <v>1.2443576571840248E-2</v>
      </c>
      <c r="S91" s="180">
        <f t="shared" si="94"/>
        <v>0.24189117578231006</v>
      </c>
    </row>
    <row r="92" spans="2:19" ht="18" x14ac:dyDescent="0.25">
      <c r="B92" s="123" t="s">
        <v>570</v>
      </c>
      <c r="C92" s="11" t="s">
        <v>571</v>
      </c>
      <c r="D92" s="15">
        <f t="shared" si="87"/>
        <v>4.8851649999999996E-2</v>
      </c>
      <c r="E92" s="178">
        <v>0</v>
      </c>
      <c r="F92" s="178">
        <v>2.1299999999999999E-2</v>
      </c>
      <c r="G92" s="178">
        <v>1.72E-2</v>
      </c>
      <c r="H92" s="178">
        <v>4.3141200000000003E-3</v>
      </c>
      <c r="I92" s="178">
        <v>3.5114E-4</v>
      </c>
      <c r="J92" s="178">
        <v>5.6863900000000004E-3</v>
      </c>
      <c r="L92" s="123" t="s">
        <v>570</v>
      </c>
      <c r="M92" s="11" t="s">
        <v>29</v>
      </c>
      <c r="N92" s="180">
        <f t="shared" si="89"/>
        <v>0</v>
      </c>
      <c r="O92" s="180">
        <f t="shared" si="90"/>
        <v>0.43601393197568561</v>
      </c>
      <c r="P92" s="180">
        <f t="shared" si="91"/>
        <v>0.35208636760477896</v>
      </c>
      <c r="Q92" s="180">
        <f t="shared" si="92"/>
        <v>8.8310630244833099E-2</v>
      </c>
      <c r="R92" s="180">
        <f t="shared" si="93"/>
        <v>7.187884134926866E-3</v>
      </c>
      <c r="S92" s="180">
        <f t="shared" si="94"/>
        <v>0.11640118603977553</v>
      </c>
    </row>
    <row r="93" spans="2:19" ht="18" x14ac:dyDescent="0.25">
      <c r="B93" s="171" t="s">
        <v>572</v>
      </c>
      <c r="C93" s="161" t="s">
        <v>573</v>
      </c>
      <c r="D93" s="185">
        <f t="shared" si="87"/>
        <v>286.61548847</v>
      </c>
      <c r="E93" s="186">
        <v>0</v>
      </c>
      <c r="F93" s="186">
        <v>173</v>
      </c>
      <c r="G93" s="186">
        <v>51.7</v>
      </c>
      <c r="H93" s="186">
        <v>15.9121243</v>
      </c>
      <c r="I93" s="186">
        <v>1.99288157</v>
      </c>
      <c r="J93" s="186">
        <v>44.010482600000003</v>
      </c>
      <c r="L93" s="123" t="s">
        <v>572</v>
      </c>
      <c r="M93" s="11" t="s">
        <v>29</v>
      </c>
      <c r="N93" s="180">
        <f t="shared" si="89"/>
        <v>0</v>
      </c>
      <c r="O93" s="180">
        <f t="shared" si="90"/>
        <v>0.60359613126109157</v>
      </c>
      <c r="P93" s="180">
        <f t="shared" si="91"/>
        <v>0.18038104038264993</v>
      </c>
      <c r="Q93" s="180">
        <f t="shared" si="92"/>
        <v>5.5517321778182686E-2</v>
      </c>
      <c r="R93" s="180">
        <f t="shared" si="93"/>
        <v>6.9531537902516203E-3</v>
      </c>
      <c r="S93" s="180">
        <f t="shared" si="94"/>
        <v>0.15355235278782423</v>
      </c>
    </row>
    <row r="94" spans="2:19" x14ac:dyDescent="0.25">
      <c r="B94" s="123" t="s">
        <v>574</v>
      </c>
      <c r="C94" s="11" t="s">
        <v>575</v>
      </c>
      <c r="D94" s="15">
        <f t="shared" si="87"/>
        <v>7209.2310362999997</v>
      </c>
      <c r="E94" s="178">
        <v>0</v>
      </c>
      <c r="F94" s="178">
        <v>2840</v>
      </c>
      <c r="G94" s="178">
        <v>3160</v>
      </c>
      <c r="H94" s="178">
        <v>282.89326999999997</v>
      </c>
      <c r="I94" s="178">
        <v>30.073382299999999</v>
      </c>
      <c r="J94" s="178">
        <v>896.26438399999995</v>
      </c>
      <c r="L94" s="123" t="s">
        <v>574</v>
      </c>
      <c r="M94" s="11" t="s">
        <v>29</v>
      </c>
      <c r="N94" s="180">
        <f t="shared" si="89"/>
        <v>0</v>
      </c>
      <c r="O94" s="180">
        <f t="shared" si="90"/>
        <v>0.39393937934573059</v>
      </c>
      <c r="P94" s="180">
        <f t="shared" si="91"/>
        <v>0.43832691504665799</v>
      </c>
      <c r="Q94" s="180">
        <f t="shared" si="92"/>
        <v>3.9240422255240909E-2</v>
      </c>
      <c r="R94" s="180">
        <f t="shared" si="93"/>
        <v>4.171510407777774E-3</v>
      </c>
      <c r="S94" s="180">
        <f t="shared" si="94"/>
        <v>0.12432177294459279</v>
      </c>
    </row>
    <row r="95" spans="2:19" x14ac:dyDescent="0.25">
      <c r="B95" s="123" t="s">
        <v>576</v>
      </c>
      <c r="C95" s="11" t="s">
        <v>577</v>
      </c>
      <c r="D95" s="15">
        <f t="shared" si="87"/>
        <v>5.55566622</v>
      </c>
      <c r="E95" s="178">
        <v>0</v>
      </c>
      <c r="F95" s="178">
        <v>3.51</v>
      </c>
      <c r="G95" s="178">
        <v>0.77900000000000003</v>
      </c>
      <c r="H95" s="178">
        <v>0.63850711000000004</v>
      </c>
      <c r="I95" s="178">
        <v>0.12814948000000001</v>
      </c>
      <c r="J95" s="178">
        <v>0.50000962999999998</v>
      </c>
      <c r="L95" s="123" t="s">
        <v>576</v>
      </c>
      <c r="M95" s="11" t="s">
        <v>29</v>
      </c>
      <c r="N95" s="180">
        <f t="shared" si="89"/>
        <v>0</v>
      </c>
      <c r="O95" s="180">
        <f t="shared" si="90"/>
        <v>0.63178741504740721</v>
      </c>
      <c r="P95" s="180">
        <f t="shared" si="91"/>
        <v>0.14021720692932485</v>
      </c>
      <c r="Q95" s="180">
        <f t="shared" si="92"/>
        <v>0.11492899046048163</v>
      </c>
      <c r="R95" s="180">
        <f t="shared" si="93"/>
        <v>2.3066446925603824E-2</v>
      </c>
      <c r="S95" s="180">
        <f t="shared" si="94"/>
        <v>8.9999940637182474E-2</v>
      </c>
    </row>
    <row r="97" spans="2:30" s="148" customFormat="1" ht="15.75" thickBot="1" x14ac:dyDescent="0.3">
      <c r="AD97" s="190"/>
    </row>
    <row r="100" spans="2:30" x14ac:dyDescent="0.25">
      <c r="B100" s="282" t="s">
        <v>622</v>
      </c>
      <c r="C100" s="282"/>
      <c r="D100" s="282"/>
      <c r="E100" s="282"/>
      <c r="F100" s="282"/>
      <c r="G100" s="282"/>
      <c r="H100" s="282"/>
      <c r="I100" s="282"/>
      <c r="J100" s="282"/>
      <c r="K100" s="282"/>
      <c r="L100" s="282"/>
      <c r="M100" s="282"/>
      <c r="N100" s="282"/>
      <c r="O100" s="282"/>
      <c r="P100" s="282"/>
      <c r="Q100" s="282"/>
      <c r="R100" s="282"/>
      <c r="S100" s="282"/>
    </row>
    <row r="102" spans="2:30" ht="27.95" customHeight="1" x14ac:dyDescent="0.25">
      <c r="B102" s="162" t="s">
        <v>547</v>
      </c>
      <c r="C102" s="162" t="s">
        <v>337</v>
      </c>
      <c r="D102" s="162" t="s">
        <v>595</v>
      </c>
      <c r="E102" s="162" t="s">
        <v>615</v>
      </c>
      <c r="F102" s="162" t="s">
        <v>548</v>
      </c>
      <c r="G102" s="162" t="s">
        <v>549</v>
      </c>
      <c r="H102" s="162" t="s">
        <v>582</v>
      </c>
      <c r="L102" s="162" t="s">
        <v>547</v>
      </c>
      <c r="M102" s="162" t="s">
        <v>337</v>
      </c>
      <c r="N102" s="162" t="s">
        <v>615</v>
      </c>
      <c r="O102" s="162" t="s">
        <v>548</v>
      </c>
      <c r="P102" s="162" t="s">
        <v>549</v>
      </c>
      <c r="Q102" s="162" t="s">
        <v>582</v>
      </c>
    </row>
    <row r="103" spans="2:30" x14ac:dyDescent="0.25">
      <c r="B103" s="123" t="s">
        <v>588</v>
      </c>
      <c r="C103" s="11" t="s">
        <v>589</v>
      </c>
      <c r="D103" s="178">
        <f>SUM(E103:J103)</f>
        <v>2.5134002419999998E-4</v>
      </c>
      <c r="E103" s="178">
        <v>0</v>
      </c>
      <c r="F103" s="178">
        <v>2.42E-4</v>
      </c>
      <c r="G103" s="178">
        <v>2.4200000000000001E-11</v>
      </c>
      <c r="H103" s="178">
        <v>9.3400000000000004E-6</v>
      </c>
      <c r="L103" s="123" t="s">
        <v>588</v>
      </c>
      <c r="M103" s="11" t="s">
        <v>29</v>
      </c>
      <c r="N103" s="180">
        <f>E103/$D103</f>
        <v>0</v>
      </c>
      <c r="O103" s="180">
        <f t="shared" ref="O103:Q106" si="95">F103/$D103</f>
        <v>0.9628390892786427</v>
      </c>
      <c r="P103" s="180">
        <f t="shared" si="95"/>
        <v>9.628390892786427E-8</v>
      </c>
      <c r="Q103" s="180">
        <f t="shared" si="95"/>
        <v>3.7160814437448446E-2</v>
      </c>
    </row>
    <row r="104" spans="2:30" ht="17.25" x14ac:dyDescent="0.25">
      <c r="B104" s="123" t="s">
        <v>590</v>
      </c>
      <c r="C104" s="11" t="s">
        <v>591</v>
      </c>
      <c r="D104" s="178">
        <f t="shared" ref="D104:D106" si="96">SUM(E104:J104)</f>
        <v>137.40003719999999</v>
      </c>
      <c r="E104" s="178">
        <v>0</v>
      </c>
      <c r="F104" s="178">
        <v>127</v>
      </c>
      <c r="G104" s="178">
        <v>3.7200000000000003E-5</v>
      </c>
      <c r="H104" s="178">
        <v>10.4</v>
      </c>
      <c r="L104" s="123" t="s">
        <v>590</v>
      </c>
      <c r="M104" s="11" t="s">
        <v>29</v>
      </c>
      <c r="N104" s="180">
        <f t="shared" ref="N104:N106" si="97">E104/$D104</f>
        <v>0</v>
      </c>
      <c r="O104" s="180">
        <f t="shared" si="95"/>
        <v>0.92430833781462773</v>
      </c>
      <c r="P104" s="180">
        <f t="shared" si="95"/>
        <v>2.7074228477719807E-7</v>
      </c>
      <c r="Q104" s="180">
        <f t="shared" si="95"/>
        <v>7.5691391443087619E-2</v>
      </c>
    </row>
    <row r="105" spans="2:30" s="192" customFormat="1" ht="18" x14ac:dyDescent="0.25">
      <c r="B105" s="171" t="s">
        <v>592</v>
      </c>
      <c r="C105" s="161" t="s">
        <v>573</v>
      </c>
      <c r="D105" s="186">
        <f t="shared" si="96"/>
        <v>327.10000002370003</v>
      </c>
      <c r="E105" s="186">
        <v>0</v>
      </c>
      <c r="F105" s="186">
        <v>309</v>
      </c>
      <c r="G105" s="186">
        <v>2.37E-8</v>
      </c>
      <c r="H105" s="186">
        <v>18.100000000000001</v>
      </c>
      <c r="I105" s="128"/>
      <c r="J105" s="128"/>
      <c r="K105" s="128"/>
      <c r="L105" s="171" t="s">
        <v>592</v>
      </c>
      <c r="M105" s="161" t="s">
        <v>29</v>
      </c>
      <c r="N105" s="191">
        <f t="shared" si="97"/>
        <v>0</v>
      </c>
      <c r="O105" s="191">
        <f t="shared" si="95"/>
        <v>0.94466523991932561</v>
      </c>
      <c r="P105" s="191">
        <f t="shared" si="95"/>
        <v>7.245490675109391E-11</v>
      </c>
      <c r="Q105" s="191">
        <f t="shared" si="95"/>
        <v>5.5334760008219401E-2</v>
      </c>
      <c r="R105" s="128"/>
      <c r="S105" s="128"/>
      <c r="AD105" s="193"/>
    </row>
    <row r="106" spans="2:30" x14ac:dyDescent="0.25">
      <c r="B106" s="123" t="s">
        <v>593</v>
      </c>
      <c r="C106" s="11" t="s">
        <v>575</v>
      </c>
      <c r="D106" s="178">
        <f t="shared" si="96"/>
        <v>7429.15</v>
      </c>
      <c r="E106" s="178">
        <v>0</v>
      </c>
      <c r="F106" s="178">
        <v>7130</v>
      </c>
      <c r="G106" s="178">
        <v>2.15</v>
      </c>
      <c r="H106" s="178">
        <v>297</v>
      </c>
      <c r="L106" s="123" t="s">
        <v>593</v>
      </c>
      <c r="M106" s="11" t="s">
        <v>29</v>
      </c>
      <c r="N106" s="180">
        <f t="shared" si="97"/>
        <v>0</v>
      </c>
      <c r="O106" s="180">
        <f t="shared" si="95"/>
        <v>0.95973294387648656</v>
      </c>
      <c r="P106" s="180">
        <f t="shared" si="95"/>
        <v>2.8940053707355483E-4</v>
      </c>
      <c r="Q106" s="180">
        <f t="shared" si="95"/>
        <v>3.9977655586439904E-2</v>
      </c>
    </row>
    <row r="108" spans="2:30" ht="17.25" x14ac:dyDescent="0.25">
      <c r="B108" s="282" t="s">
        <v>621</v>
      </c>
      <c r="C108" s="282"/>
      <c r="D108" s="282"/>
      <c r="E108" s="282"/>
      <c r="F108" s="282"/>
      <c r="G108" s="282"/>
      <c r="H108" s="282"/>
      <c r="I108" s="282"/>
      <c r="J108" s="282"/>
      <c r="K108" s="282"/>
      <c r="L108" s="282"/>
      <c r="M108" s="282"/>
      <c r="N108" s="282"/>
      <c r="O108" s="282"/>
      <c r="P108" s="282"/>
      <c r="Q108" s="282"/>
      <c r="R108" s="282"/>
      <c r="S108" s="282"/>
      <c r="T108" s="282"/>
      <c r="U108" s="282"/>
      <c r="V108" s="282"/>
      <c r="W108" s="282"/>
      <c r="X108" s="282"/>
      <c r="Y108" s="282"/>
    </row>
    <row r="110" spans="2:30" ht="27.95" customHeight="1" x14ac:dyDescent="0.25">
      <c r="B110" s="162" t="s">
        <v>547</v>
      </c>
      <c r="C110" s="162" t="s">
        <v>337</v>
      </c>
      <c r="D110" s="162" t="s">
        <v>213</v>
      </c>
      <c r="E110" s="162" t="s">
        <v>578</v>
      </c>
      <c r="F110" s="162" t="s">
        <v>218</v>
      </c>
      <c r="G110" s="162" t="s">
        <v>579</v>
      </c>
      <c r="H110" s="162" t="s">
        <v>316</v>
      </c>
      <c r="I110" s="162" t="s">
        <v>580</v>
      </c>
      <c r="J110" s="162" t="s">
        <v>581</v>
      </c>
      <c r="L110" s="122" t="s">
        <v>547</v>
      </c>
      <c r="M110" s="122" t="s">
        <v>337</v>
      </c>
      <c r="N110" s="162" t="s">
        <v>578</v>
      </c>
      <c r="O110" s="162" t="s">
        <v>218</v>
      </c>
      <c r="P110" s="162" t="s">
        <v>579</v>
      </c>
      <c r="Q110" s="162" t="s">
        <v>316</v>
      </c>
      <c r="R110" s="162" t="s">
        <v>580</v>
      </c>
      <c r="S110" s="162" t="s">
        <v>581</v>
      </c>
    </row>
    <row r="111" spans="2:30" x14ac:dyDescent="0.25">
      <c r="B111" s="123" t="s">
        <v>588</v>
      </c>
      <c r="C111" s="11" t="s">
        <v>589</v>
      </c>
      <c r="D111" s="178">
        <f>SUM(E111:J111)</f>
        <v>2.7806661462790005E-4</v>
      </c>
      <c r="E111" s="178">
        <f>D119</f>
        <v>2.1029830000000001E-4</v>
      </c>
      <c r="F111" s="178">
        <v>6.5772000000000007E-5</v>
      </c>
      <c r="G111" s="178">
        <v>1.3724999999999999E-7</v>
      </c>
      <c r="H111" s="178">
        <v>4.6278999999999997E-12</v>
      </c>
      <c r="I111" s="178">
        <v>7.3015999999999997E-7</v>
      </c>
      <c r="J111" s="178">
        <v>1.1288999999999999E-6</v>
      </c>
      <c r="L111" s="123" t="s">
        <v>588</v>
      </c>
      <c r="M111" s="11" t="s">
        <v>29</v>
      </c>
      <c r="N111" s="180">
        <f t="shared" ref="N111:S114" si="98">E111/$D111</f>
        <v>0.75628748270055557</v>
      </c>
      <c r="O111" s="180">
        <f t="shared" si="98"/>
        <v>0.23653324973231329</v>
      </c>
      <c r="P111" s="180">
        <f t="shared" si="98"/>
        <v>4.9358676223560174E-4</v>
      </c>
      <c r="Q111" s="180">
        <f t="shared" si="98"/>
        <v>1.6643134258288826E-8</v>
      </c>
      <c r="R111" s="180">
        <f t="shared" si="98"/>
        <v>2.625845612487774E-3</v>
      </c>
      <c r="S111" s="180">
        <f t="shared" si="98"/>
        <v>4.0598185492733757E-3</v>
      </c>
    </row>
    <row r="112" spans="2:30" ht="17.25" x14ac:dyDescent="0.25">
      <c r="B112" s="123" t="s">
        <v>590</v>
      </c>
      <c r="C112" s="11" t="s">
        <v>591</v>
      </c>
      <c r="D112" s="178">
        <f>SUM(E112:J112)</f>
        <v>145.64922561340001</v>
      </c>
      <c r="E112" s="178">
        <f t="shared" ref="E112:E114" si="99">D120</f>
        <v>125.87049814000001</v>
      </c>
      <c r="F112" s="178">
        <v>19.578203899999998</v>
      </c>
      <c r="G112" s="178">
        <v>2.5783400000000001E-3</v>
      </c>
      <c r="H112" s="178">
        <v>7.1134000000000004E-6</v>
      </c>
      <c r="I112" s="178">
        <v>3.5251360000000002E-2</v>
      </c>
      <c r="J112" s="178">
        <v>0.16268676000000001</v>
      </c>
      <c r="L112" s="123" t="s">
        <v>590</v>
      </c>
      <c r="M112" s="11" t="s">
        <v>29</v>
      </c>
      <c r="N112" s="180">
        <f t="shared" si="98"/>
        <v>0.8642030028645733</v>
      </c>
      <c r="O112" s="180">
        <f t="shared" si="98"/>
        <v>0.13442024025563212</v>
      </c>
      <c r="P112" s="180">
        <f t="shared" si="98"/>
        <v>1.7702394153771512E-5</v>
      </c>
      <c r="Q112" s="180">
        <f t="shared" si="98"/>
        <v>4.8839257263758182E-8</v>
      </c>
      <c r="R112" s="180">
        <f t="shared" si="98"/>
        <v>2.4202916185471851E-4</v>
      </c>
      <c r="S112" s="180">
        <f t="shared" si="98"/>
        <v>1.1169764845288166E-3</v>
      </c>
    </row>
    <row r="113" spans="2:30" s="192" customFormat="1" ht="18" x14ac:dyDescent="0.25">
      <c r="B113" s="171" t="s">
        <v>592</v>
      </c>
      <c r="C113" s="161" t="s">
        <v>573</v>
      </c>
      <c r="D113" s="186">
        <f>SUM(E113:J113)</f>
        <v>354.54502739454205</v>
      </c>
      <c r="E113" s="186">
        <f t="shared" si="99"/>
        <v>296.13180667</v>
      </c>
      <c r="F113" s="186">
        <v>48.431099799999998</v>
      </c>
      <c r="G113" s="186">
        <v>2.1249600000000002</v>
      </c>
      <c r="H113" s="186">
        <v>4.5420999999999999E-9</v>
      </c>
      <c r="I113" s="186">
        <v>6.68803503</v>
      </c>
      <c r="J113" s="186">
        <v>1.1691258899999999</v>
      </c>
      <c r="K113" s="128"/>
      <c r="L113" s="171" t="s">
        <v>592</v>
      </c>
      <c r="M113" s="161" t="s">
        <v>29</v>
      </c>
      <c r="N113" s="191">
        <f t="shared" si="98"/>
        <v>0.83524456356416732</v>
      </c>
      <c r="O113" s="191">
        <f t="shared" si="98"/>
        <v>0.13660070247186198</v>
      </c>
      <c r="P113" s="191">
        <f t="shared" si="98"/>
        <v>5.9934841439344706E-3</v>
      </c>
      <c r="Q113" s="191">
        <f t="shared" si="98"/>
        <v>1.2811066716627491E-11</v>
      </c>
      <c r="R113" s="191">
        <f t="shared" si="98"/>
        <v>1.8863711272863157E-2</v>
      </c>
      <c r="S113" s="191">
        <f t="shared" si="98"/>
        <v>3.2975385343621878E-3</v>
      </c>
      <c r="AD113" s="193"/>
    </row>
    <row r="114" spans="2:30" x14ac:dyDescent="0.25">
      <c r="B114" s="123" t="s">
        <v>593</v>
      </c>
      <c r="C114" s="11" t="s">
        <v>575</v>
      </c>
      <c r="D114" s="178">
        <f>SUM(E114:J114)</f>
        <v>8179.5989115100001</v>
      </c>
      <c r="E114" s="178">
        <f t="shared" si="99"/>
        <v>7455.5657783000006</v>
      </c>
      <c r="F114" s="178">
        <v>562.102486</v>
      </c>
      <c r="G114" s="178">
        <v>24.7912</v>
      </c>
      <c r="H114" s="178">
        <v>0.41173841</v>
      </c>
      <c r="I114" s="178">
        <v>112.90541899999999</v>
      </c>
      <c r="J114" s="178">
        <v>23.8222898</v>
      </c>
      <c r="L114" s="123" t="s">
        <v>593</v>
      </c>
      <c r="M114" s="11" t="s">
        <v>29</v>
      </c>
      <c r="N114" s="180">
        <f t="shared" si="98"/>
        <v>0.91148305179228661</v>
      </c>
      <c r="O114" s="180">
        <f t="shared" si="98"/>
        <v>6.8720054868342276E-2</v>
      </c>
      <c r="P114" s="180">
        <f t="shared" si="98"/>
        <v>3.0308576579610559E-3</v>
      </c>
      <c r="Q114" s="180">
        <f t="shared" si="98"/>
        <v>5.0337237125480366E-5</v>
      </c>
      <c r="R114" s="180">
        <f t="shared" si="98"/>
        <v>1.3803295274188086E-2</v>
      </c>
      <c r="S114" s="180">
        <f t="shared" si="98"/>
        <v>2.9124031700965484E-3</v>
      </c>
    </row>
    <row r="116" spans="2:30" x14ac:dyDescent="0.25">
      <c r="B116" s="283" t="s">
        <v>623</v>
      </c>
      <c r="C116" s="284"/>
      <c r="D116" s="284"/>
      <c r="E116" s="284"/>
      <c r="F116" s="284"/>
      <c r="G116" s="284"/>
      <c r="H116" s="284"/>
      <c r="I116" s="284"/>
      <c r="J116" s="284"/>
      <c r="K116" s="285"/>
    </row>
    <row r="118" spans="2:30" ht="28.5" customHeight="1" x14ac:dyDescent="0.25">
      <c r="B118" s="162" t="s">
        <v>547</v>
      </c>
      <c r="C118" s="162" t="s">
        <v>337</v>
      </c>
      <c r="D118" s="162" t="s">
        <v>213</v>
      </c>
      <c r="E118" s="162" t="s">
        <v>583</v>
      </c>
      <c r="F118" s="162" t="s">
        <v>581</v>
      </c>
      <c r="H118" s="122" t="s">
        <v>547</v>
      </c>
      <c r="I118" s="122" t="s">
        <v>337</v>
      </c>
      <c r="J118" s="162" t="s">
        <v>583</v>
      </c>
      <c r="K118" s="162" t="s">
        <v>581</v>
      </c>
    </row>
    <row r="119" spans="2:30" x14ac:dyDescent="0.25">
      <c r="B119" s="123" t="s">
        <v>588</v>
      </c>
      <c r="C119" s="11" t="s">
        <v>589</v>
      </c>
      <c r="D119" s="178">
        <f>SUM(E119:F119)</f>
        <v>2.1029830000000001E-4</v>
      </c>
      <c r="E119" s="178">
        <f>D127</f>
        <v>2.0750050000000001E-4</v>
      </c>
      <c r="F119" s="178">
        <v>2.7978000000000001E-6</v>
      </c>
      <c r="H119" s="123" t="s">
        <v>588</v>
      </c>
      <c r="I119" s="11" t="s">
        <v>29</v>
      </c>
      <c r="J119" s="180">
        <f>E119/$D119</f>
        <v>0.9866960408144051</v>
      </c>
      <c r="K119" s="180">
        <f>F119/$D119</f>
        <v>1.3303959185594939E-2</v>
      </c>
    </row>
    <row r="120" spans="2:30" ht="17.25" x14ac:dyDescent="0.25">
      <c r="B120" s="123" t="s">
        <v>590</v>
      </c>
      <c r="C120" s="11" t="s">
        <v>591</v>
      </c>
      <c r="D120" s="178">
        <f t="shared" ref="D120:D122" si="100">SUM(E120:F120)</f>
        <v>125.87049814000001</v>
      </c>
      <c r="E120" s="178">
        <f t="shared" ref="E120:E122" si="101">D128</f>
        <v>125.46728975000001</v>
      </c>
      <c r="F120" s="178">
        <v>0.40320839000000003</v>
      </c>
      <c r="H120" s="123" t="s">
        <v>590</v>
      </c>
      <c r="I120" s="11" t="s">
        <v>29</v>
      </c>
      <c r="J120" s="180">
        <f t="shared" ref="J120:K122" si="102">E120/$D120</f>
        <v>0.99679664102424115</v>
      </c>
      <c r="K120" s="180">
        <f t="shared" si="102"/>
        <v>3.2033589757587974E-3</v>
      </c>
    </row>
    <row r="121" spans="2:30" s="192" customFormat="1" ht="18" x14ac:dyDescent="0.25">
      <c r="B121" s="171" t="s">
        <v>592</v>
      </c>
      <c r="C121" s="161" t="s">
        <v>573</v>
      </c>
      <c r="D121" s="186">
        <f t="shared" si="100"/>
        <v>296.13180667</v>
      </c>
      <c r="E121" s="186">
        <f t="shared" si="101"/>
        <v>293.23420534000002</v>
      </c>
      <c r="F121" s="186">
        <v>2.8976013300000001</v>
      </c>
      <c r="H121" s="171" t="s">
        <v>592</v>
      </c>
      <c r="I121" s="161" t="s">
        <v>29</v>
      </c>
      <c r="J121" s="191">
        <f t="shared" si="102"/>
        <v>0.99021516343487892</v>
      </c>
      <c r="K121" s="191">
        <f t="shared" si="102"/>
        <v>9.784836565121139E-3</v>
      </c>
      <c r="AD121" s="193"/>
    </row>
    <row r="122" spans="2:30" x14ac:dyDescent="0.25">
      <c r="B122" s="123" t="s">
        <v>593</v>
      </c>
      <c r="C122" s="11" t="s">
        <v>575</v>
      </c>
      <c r="D122" s="178">
        <f t="shared" si="100"/>
        <v>7455.5657783000006</v>
      </c>
      <c r="E122" s="178">
        <f t="shared" si="101"/>
        <v>7396.5238061000009</v>
      </c>
      <c r="F122" s="178">
        <v>59.041972199999996</v>
      </c>
      <c r="H122" s="123" t="s">
        <v>593</v>
      </c>
      <c r="I122" s="11" t="s">
        <v>29</v>
      </c>
      <c r="J122" s="180">
        <f t="shared" si="102"/>
        <v>0.99208081935621228</v>
      </c>
      <c r="K122" s="180">
        <f t="shared" si="102"/>
        <v>7.9191806437877883E-3</v>
      </c>
    </row>
    <row r="124" spans="2:30" x14ac:dyDescent="0.25">
      <c r="B124" s="282" t="s">
        <v>624</v>
      </c>
      <c r="C124" s="282"/>
      <c r="D124" s="282"/>
      <c r="E124" s="282"/>
      <c r="F124" s="282"/>
      <c r="G124" s="282"/>
      <c r="H124" s="282"/>
      <c r="I124" s="282"/>
      <c r="J124" s="282"/>
      <c r="K124" s="282"/>
      <c r="L124" s="282"/>
      <c r="M124" s="282"/>
    </row>
    <row r="126" spans="2:30" ht="28.5" customHeight="1" x14ac:dyDescent="0.25">
      <c r="B126" s="162" t="s">
        <v>547</v>
      </c>
      <c r="C126" s="162" t="s">
        <v>337</v>
      </c>
      <c r="D126" s="162" t="s">
        <v>213</v>
      </c>
      <c r="E126" s="162" t="s">
        <v>584</v>
      </c>
      <c r="F126" s="162" t="s">
        <v>581</v>
      </c>
      <c r="G126" s="162" t="s">
        <v>335</v>
      </c>
      <c r="I126" s="122" t="s">
        <v>547</v>
      </c>
      <c r="J126" s="122" t="s">
        <v>337</v>
      </c>
      <c r="K126" s="162" t="s">
        <v>584</v>
      </c>
      <c r="L126" s="162" t="s">
        <v>581</v>
      </c>
      <c r="M126" s="162" t="s">
        <v>335</v>
      </c>
    </row>
    <row r="127" spans="2:30" x14ac:dyDescent="0.25">
      <c r="B127" s="123" t="s">
        <v>588</v>
      </c>
      <c r="C127" s="11" t="s">
        <v>589</v>
      </c>
      <c r="D127" s="178">
        <f>SUM(E127:G127)</f>
        <v>2.0750050000000001E-4</v>
      </c>
      <c r="E127" s="178">
        <f>D135</f>
        <v>2.0742349999999999E-4</v>
      </c>
      <c r="F127" s="178">
        <v>1.3208E-5</v>
      </c>
      <c r="G127" s="178">
        <v>-1.3131E-5</v>
      </c>
      <c r="H127" s="179">
        <f>SUM(E127:F127)</f>
        <v>2.206315E-4</v>
      </c>
      <c r="I127" s="123" t="s">
        <v>588</v>
      </c>
      <c r="J127" s="11" t="s">
        <v>29</v>
      </c>
      <c r="K127" s="180">
        <f>E127/$H127</f>
        <v>0.94013547476221659</v>
      </c>
      <c r="L127" s="180">
        <f t="shared" ref="L127:M130" si="103">F127/$H127</f>
        <v>5.9864525237783357E-2</v>
      </c>
      <c r="M127" s="180">
        <f t="shared" si="103"/>
        <v>-5.9515527021300224E-2</v>
      </c>
    </row>
    <row r="128" spans="2:30" ht="17.25" x14ac:dyDescent="0.25">
      <c r="B128" s="123" t="s">
        <v>590</v>
      </c>
      <c r="C128" s="11" t="s">
        <v>591</v>
      </c>
      <c r="D128" s="178">
        <f t="shared" ref="D128:D130" si="104">SUM(E128:G128)</f>
        <v>125.46728975000001</v>
      </c>
      <c r="E128" s="178">
        <f t="shared" ref="E128:E130" si="105">D136</f>
        <v>124.28380123000001</v>
      </c>
      <c r="F128" s="178">
        <v>1.9035418399999999</v>
      </c>
      <c r="G128" s="178">
        <v>-0.72005332</v>
      </c>
      <c r="H128" s="179">
        <f t="shared" ref="H128:H130" si="106">SUM(E128:F128)</f>
        <v>126.18734307000001</v>
      </c>
      <c r="I128" s="123" t="s">
        <v>590</v>
      </c>
      <c r="J128" s="11" t="s">
        <v>29</v>
      </c>
      <c r="K128" s="180">
        <f t="shared" ref="K128:K130" si="107">E128/$H128</f>
        <v>0.98491495427600806</v>
      </c>
      <c r="L128" s="180">
        <f t="shared" si="103"/>
        <v>1.5085045723991879E-2</v>
      </c>
      <c r="M128" s="180">
        <f t="shared" si="103"/>
        <v>-5.7062245902155511E-3</v>
      </c>
    </row>
    <row r="129" spans="2:30" s="192" customFormat="1" ht="18" x14ac:dyDescent="0.25">
      <c r="B129" s="171" t="s">
        <v>592</v>
      </c>
      <c r="C129" s="161" t="s">
        <v>573</v>
      </c>
      <c r="D129" s="186">
        <f t="shared" si="104"/>
        <v>293.23420534000002</v>
      </c>
      <c r="E129" s="186">
        <f t="shared" si="105"/>
        <v>286.61548847</v>
      </c>
      <c r="F129" s="186">
        <v>13.679540100000001</v>
      </c>
      <c r="G129" s="186">
        <v>-7.0608232299999996</v>
      </c>
      <c r="H129" s="179">
        <f t="shared" si="106"/>
        <v>300.29502857</v>
      </c>
      <c r="I129" s="171" t="s">
        <v>592</v>
      </c>
      <c r="J129" s="161" t="s">
        <v>29</v>
      </c>
      <c r="K129" s="191">
        <f t="shared" si="107"/>
        <v>0.95444633177864535</v>
      </c>
      <c r="L129" s="191">
        <f t="shared" si="103"/>
        <v>4.5553668221354669E-2</v>
      </c>
      <c r="M129" s="191">
        <f t="shared" si="103"/>
        <v>-2.351295412256248E-2</v>
      </c>
      <c r="AD129" s="193"/>
    </row>
    <row r="130" spans="2:30" x14ac:dyDescent="0.25">
      <c r="B130" s="123" t="s">
        <v>593</v>
      </c>
      <c r="C130" s="11" t="s">
        <v>575</v>
      </c>
      <c r="D130" s="178">
        <f t="shared" si="104"/>
        <v>7396.5238061000009</v>
      </c>
      <c r="E130" s="178">
        <f t="shared" si="105"/>
        <v>7210.4977018000009</v>
      </c>
      <c r="F130" s="178">
        <v>278.73642100000001</v>
      </c>
      <c r="G130" s="178">
        <v>-92.710316700000007</v>
      </c>
      <c r="H130" s="179">
        <f t="shared" si="106"/>
        <v>7489.2341228000005</v>
      </c>
      <c r="I130" s="123" t="s">
        <v>593</v>
      </c>
      <c r="J130" s="11" t="s">
        <v>29</v>
      </c>
      <c r="K130" s="180">
        <f t="shared" si="107"/>
        <v>0.96278171887410724</v>
      </c>
      <c r="L130" s="180">
        <f t="shared" si="103"/>
        <v>3.7218281125892858E-2</v>
      </c>
      <c r="M130" s="180">
        <f t="shared" si="103"/>
        <v>-1.2379145207619494E-2</v>
      </c>
    </row>
    <row r="132" spans="2:30" x14ac:dyDescent="0.25">
      <c r="B132" s="282" t="s">
        <v>625</v>
      </c>
      <c r="C132" s="282"/>
      <c r="D132" s="282"/>
      <c r="E132" s="282"/>
      <c r="F132" s="282"/>
      <c r="G132" s="282"/>
      <c r="H132" s="282"/>
      <c r="I132" s="282"/>
      <c r="J132" s="282"/>
      <c r="K132" s="282"/>
      <c r="L132" s="282"/>
      <c r="M132" s="282"/>
      <c r="N132" s="282"/>
      <c r="O132" s="282"/>
      <c r="P132" s="282"/>
      <c r="Q132" s="282"/>
    </row>
    <row r="134" spans="2:30" ht="27.95" customHeight="1" x14ac:dyDescent="0.25">
      <c r="B134" s="162" t="s">
        <v>547</v>
      </c>
      <c r="C134" s="162" t="s">
        <v>337</v>
      </c>
      <c r="D134" s="162" t="s">
        <v>213</v>
      </c>
      <c r="E134" s="162" t="s">
        <v>596</v>
      </c>
      <c r="F134" s="162" t="s">
        <v>585</v>
      </c>
      <c r="G134" s="162" t="s">
        <v>586</v>
      </c>
      <c r="H134" s="162" t="s">
        <v>209</v>
      </c>
      <c r="I134" s="162" t="s">
        <v>587</v>
      </c>
      <c r="J134" s="162" t="s">
        <v>581</v>
      </c>
      <c r="L134" s="122" t="s">
        <v>547</v>
      </c>
      <c r="M134" s="122" t="s">
        <v>337</v>
      </c>
      <c r="N134" s="162" t="s">
        <v>596</v>
      </c>
      <c r="O134" s="162" t="s">
        <v>585</v>
      </c>
      <c r="P134" s="162" t="s">
        <v>586</v>
      </c>
      <c r="Q134" s="162" t="s">
        <v>209</v>
      </c>
      <c r="R134" s="162" t="s">
        <v>587</v>
      </c>
      <c r="S134" s="162" t="s">
        <v>581</v>
      </c>
    </row>
    <row r="135" spans="2:30" x14ac:dyDescent="0.25">
      <c r="B135" s="123" t="s">
        <v>588</v>
      </c>
      <c r="C135" s="11" t="s">
        <v>589</v>
      </c>
      <c r="D135" s="178">
        <f>SUM(F135:J135)</f>
        <v>2.0742349999999999E-4</v>
      </c>
      <c r="E135" s="178">
        <v>0</v>
      </c>
      <c r="F135" s="178">
        <v>8.9400000000000005E-5</v>
      </c>
      <c r="G135" s="178">
        <v>5.4599999999999999E-5</v>
      </c>
      <c r="H135" s="178">
        <v>1.7215999999999999E-5</v>
      </c>
      <c r="I135" s="178">
        <v>3.7125E-6</v>
      </c>
      <c r="J135" s="178">
        <v>4.2494999999999999E-5</v>
      </c>
      <c r="L135" s="123" t="s">
        <v>588</v>
      </c>
      <c r="M135" s="11" t="s">
        <v>29</v>
      </c>
      <c r="N135" s="180">
        <f t="shared" ref="N135:S135" si="108">E135/$D135</f>
        <v>0</v>
      </c>
      <c r="O135" s="180">
        <f t="shared" si="108"/>
        <v>0.43100227312720113</v>
      </c>
      <c r="P135" s="180">
        <f t="shared" si="108"/>
        <v>0.26322957620520337</v>
      </c>
      <c r="Q135" s="180">
        <f t="shared" si="108"/>
        <v>8.2999274431296358E-2</v>
      </c>
      <c r="R135" s="180">
        <f t="shared" si="108"/>
        <v>1.7898164865601054E-2</v>
      </c>
      <c r="S135" s="180">
        <f t="shared" si="108"/>
        <v>0.20487071137069812</v>
      </c>
    </row>
    <row r="136" spans="2:30" ht="17.25" x14ac:dyDescent="0.25">
      <c r="B136" s="123" t="s">
        <v>590</v>
      </c>
      <c r="C136" s="11" t="s">
        <v>591</v>
      </c>
      <c r="D136" s="178">
        <f>SUM(F136:J136)</f>
        <v>124.28380123000001</v>
      </c>
      <c r="E136" s="178">
        <v>0</v>
      </c>
      <c r="F136" s="178">
        <v>99.1</v>
      </c>
      <c r="G136" s="178">
        <v>15.4</v>
      </c>
      <c r="H136" s="178">
        <v>3.2111974399999998</v>
      </c>
      <c r="I136" s="178">
        <v>0.44843630000000001</v>
      </c>
      <c r="J136" s="178">
        <v>6.1241674899999996</v>
      </c>
      <c r="L136" s="123" t="s">
        <v>590</v>
      </c>
      <c r="M136" s="11" t="s">
        <v>29</v>
      </c>
      <c r="N136" s="180">
        <f t="shared" ref="N136:N138" si="109">E136/$D136</f>
        <v>0</v>
      </c>
      <c r="O136" s="180">
        <f t="shared" ref="O136:S138" si="110">F136/$D136</f>
        <v>0.79736859525727899</v>
      </c>
      <c r="P136" s="180">
        <f t="shared" si="110"/>
        <v>0.12390995324886073</v>
      </c>
      <c r="Q136" s="180">
        <f t="shared" si="110"/>
        <v>2.5837618484627352E-2</v>
      </c>
      <c r="R136" s="180">
        <f t="shared" si="110"/>
        <v>3.6081636992267587E-3</v>
      </c>
      <c r="S136" s="180">
        <f t="shared" si="110"/>
        <v>4.9275669310006015E-2</v>
      </c>
    </row>
    <row r="137" spans="2:30" s="192" customFormat="1" ht="18" x14ac:dyDescent="0.25">
      <c r="B137" s="171" t="s">
        <v>592</v>
      </c>
      <c r="C137" s="161" t="s">
        <v>573</v>
      </c>
      <c r="D137" s="186">
        <f>SUM(F137:J137)</f>
        <v>286.61548847</v>
      </c>
      <c r="E137" s="186">
        <v>0</v>
      </c>
      <c r="F137" s="186">
        <v>173</v>
      </c>
      <c r="G137" s="186">
        <v>51.7</v>
      </c>
      <c r="H137" s="186">
        <v>15.9121243</v>
      </c>
      <c r="I137" s="186">
        <v>1.99288157</v>
      </c>
      <c r="J137" s="186">
        <v>44.010482600000003</v>
      </c>
      <c r="L137" s="171" t="s">
        <v>592</v>
      </c>
      <c r="M137" s="161" t="s">
        <v>29</v>
      </c>
      <c r="N137" s="191">
        <f t="shared" si="109"/>
        <v>0</v>
      </c>
      <c r="O137" s="191">
        <f t="shared" si="110"/>
        <v>0.60359613126109157</v>
      </c>
      <c r="P137" s="191">
        <f t="shared" si="110"/>
        <v>0.18038104038264993</v>
      </c>
      <c r="Q137" s="191">
        <f t="shared" si="110"/>
        <v>5.5517321778182686E-2</v>
      </c>
      <c r="R137" s="191">
        <f t="shared" si="110"/>
        <v>6.9531537902516203E-3</v>
      </c>
      <c r="S137" s="191">
        <f t="shared" si="110"/>
        <v>0.15355235278782423</v>
      </c>
      <c r="AD137" s="193"/>
    </row>
    <row r="138" spans="2:30" x14ac:dyDescent="0.25">
      <c r="B138" s="123" t="s">
        <v>593</v>
      </c>
      <c r="C138" s="11" t="s">
        <v>575</v>
      </c>
      <c r="D138" s="178">
        <f>SUM(F138:J138)</f>
        <v>7210.4977018000009</v>
      </c>
      <c r="E138" s="178">
        <v>0</v>
      </c>
      <c r="F138" s="178">
        <v>2840</v>
      </c>
      <c r="G138" s="178">
        <v>3160</v>
      </c>
      <c r="H138" s="178">
        <v>283.53177699999998</v>
      </c>
      <c r="I138" s="178">
        <v>30.201531800000001</v>
      </c>
      <c r="J138" s="178">
        <v>896.76439300000004</v>
      </c>
      <c r="L138" s="123" t="s">
        <v>593</v>
      </c>
      <c r="M138" s="11" t="s">
        <v>29</v>
      </c>
      <c r="N138" s="180">
        <f t="shared" si="109"/>
        <v>0</v>
      </c>
      <c r="O138" s="180">
        <f t="shared" si="110"/>
        <v>0.39387017615871833</v>
      </c>
      <c r="P138" s="180">
        <f t="shared" si="110"/>
        <v>0.43824991431744714</v>
      </c>
      <c r="Q138" s="180">
        <f t="shared" si="110"/>
        <v>3.932208132168466E-2</v>
      </c>
      <c r="R138" s="180">
        <f t="shared" si="110"/>
        <v>4.1885502289891316E-3</v>
      </c>
      <c r="S138" s="180">
        <f t="shared" si="110"/>
        <v>0.12436927797316061</v>
      </c>
    </row>
  </sheetData>
  <mergeCells count="52">
    <mergeCell ref="AE78:AE79"/>
    <mergeCell ref="AM78:AM79"/>
    <mergeCell ref="AE69:AE70"/>
    <mergeCell ref="AM69:AM70"/>
    <mergeCell ref="AE72:AE73"/>
    <mergeCell ref="AM72:AM73"/>
    <mergeCell ref="AE75:AE76"/>
    <mergeCell ref="AM75:AM76"/>
    <mergeCell ref="AE60:AE61"/>
    <mergeCell ref="AM60:AM61"/>
    <mergeCell ref="AE63:AE64"/>
    <mergeCell ref="AM63:AM64"/>
    <mergeCell ref="AE66:AE67"/>
    <mergeCell ref="AM66:AM67"/>
    <mergeCell ref="AE51:AE52"/>
    <mergeCell ref="AM51:AM52"/>
    <mergeCell ref="AE54:AE55"/>
    <mergeCell ref="AM54:AM55"/>
    <mergeCell ref="AE57:AE58"/>
    <mergeCell ref="AM57:AM58"/>
    <mergeCell ref="B132:Q132"/>
    <mergeCell ref="B78:Q78"/>
    <mergeCell ref="B2:S2"/>
    <mergeCell ref="AE5:AE6"/>
    <mergeCell ref="AM5:AM6"/>
    <mergeCell ref="AE8:AE9"/>
    <mergeCell ref="AM8:AM9"/>
    <mergeCell ref="AE11:AE12"/>
    <mergeCell ref="AM11:AM12"/>
    <mergeCell ref="AE14:AE15"/>
    <mergeCell ref="AM14:AM15"/>
    <mergeCell ref="B21:Y21"/>
    <mergeCell ref="B40:K40"/>
    <mergeCell ref="B59:M59"/>
    <mergeCell ref="AF2:AJ2"/>
    <mergeCell ref="AF33:AJ33"/>
    <mergeCell ref="AN2:AQ2"/>
    <mergeCell ref="B100:S100"/>
    <mergeCell ref="B108:Y108"/>
    <mergeCell ref="B116:K116"/>
    <mergeCell ref="B124:M124"/>
    <mergeCell ref="AN33:AQ33"/>
    <mergeCell ref="AE36:AE37"/>
    <mergeCell ref="AM36:AM37"/>
    <mergeCell ref="AE39:AE40"/>
    <mergeCell ref="AM39:AM40"/>
    <mergeCell ref="AE42:AE43"/>
    <mergeCell ref="AM42:AM43"/>
    <mergeCell ref="AE45:AE46"/>
    <mergeCell ref="AM45:AM46"/>
    <mergeCell ref="AE48:AE49"/>
    <mergeCell ref="AM48:AM49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38"/>
  <sheetViews>
    <sheetView topLeftCell="A117" zoomScale="90" zoomScaleNormal="90" workbookViewId="0">
      <selection activeCell="D106" sqref="D106"/>
    </sheetView>
  </sheetViews>
  <sheetFormatPr defaultColWidth="10.85546875" defaultRowHeight="15" x14ac:dyDescent="0.25"/>
  <cols>
    <col min="1" max="1" width="10.85546875" style="128"/>
    <col min="2" max="2" width="20.7109375" style="128" bestFit="1" customWidth="1"/>
    <col min="3" max="3" width="12.140625" style="128" bestFit="1" customWidth="1"/>
    <col min="4" max="4" width="15" style="128" bestFit="1" customWidth="1"/>
    <col min="5" max="5" width="13.5703125" style="128" customWidth="1"/>
    <col min="6" max="6" width="14.28515625" style="128" customWidth="1"/>
    <col min="7" max="7" width="12.42578125" style="128" bestFit="1" customWidth="1"/>
    <col min="8" max="8" width="19.85546875" style="128" bestFit="1" customWidth="1"/>
    <col min="9" max="9" width="20.5703125" style="128" bestFit="1" customWidth="1"/>
    <col min="10" max="10" width="12.140625" style="128" customWidth="1"/>
    <col min="11" max="11" width="20.42578125" style="128" customWidth="1"/>
    <col min="12" max="12" width="22.140625" style="128" customWidth="1"/>
    <col min="13" max="13" width="10.85546875" style="128" customWidth="1"/>
    <col min="14" max="14" width="14.28515625" style="128" customWidth="1"/>
    <col min="15" max="15" width="19.85546875" style="128" customWidth="1"/>
    <col min="16" max="16" width="10.85546875" style="128" customWidth="1"/>
    <col min="17" max="17" width="13.140625" style="128" customWidth="1"/>
    <col min="18" max="18" width="13.5703125" style="128" customWidth="1"/>
    <col min="19" max="23" width="10.85546875" style="128" customWidth="1"/>
    <col min="24" max="24" width="13.28515625" style="128" customWidth="1"/>
    <col min="25" max="25" width="13.42578125" style="128" customWidth="1"/>
    <col min="26" max="26" width="10.85546875" style="128"/>
    <col min="27" max="27" width="15.5703125" style="128" bestFit="1" customWidth="1"/>
    <col min="28" max="29" width="10.85546875" style="128"/>
    <col min="30" max="30" width="10.85546875" style="176"/>
    <col min="31" max="31" width="14.42578125" style="128" bestFit="1" customWidth="1"/>
    <col min="32" max="32" width="13.42578125" style="128" customWidth="1"/>
    <col min="33" max="33" width="14.140625" style="128" customWidth="1"/>
    <col min="34" max="34" width="13.140625" style="128" customWidth="1"/>
    <col min="35" max="38" width="10.85546875" style="128"/>
    <col min="39" max="39" width="15.5703125" style="128" bestFit="1" customWidth="1"/>
    <col min="40" max="40" width="11.85546875" style="128" customWidth="1"/>
    <col min="41" max="41" width="13.5703125" style="128" customWidth="1"/>
    <col min="42" max="16384" width="10.85546875" style="128"/>
  </cols>
  <sheetData>
    <row r="1" spans="1:44" ht="15.75" thickBot="1" x14ac:dyDescent="0.3">
      <c r="A1" s="175" t="s">
        <v>594</v>
      </c>
    </row>
    <row r="2" spans="1:44" ht="18" thickBot="1" x14ac:dyDescent="0.3">
      <c r="B2" s="282" t="s">
        <v>626</v>
      </c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AF2" s="279" t="s">
        <v>609</v>
      </c>
      <c r="AG2" s="280"/>
      <c r="AH2" s="280"/>
      <c r="AI2" s="280"/>
      <c r="AJ2" s="281"/>
      <c r="AN2" s="279" t="s">
        <v>610</v>
      </c>
      <c r="AO2" s="280"/>
      <c r="AP2" s="280"/>
      <c r="AQ2" s="281"/>
    </row>
    <row r="4" spans="1:44" ht="30" customHeight="1" x14ac:dyDescent="0.25">
      <c r="B4" s="162" t="s">
        <v>547</v>
      </c>
      <c r="C4" s="162" t="s">
        <v>337</v>
      </c>
      <c r="D4" s="162" t="s">
        <v>595</v>
      </c>
      <c r="E4" s="162" t="s">
        <v>615</v>
      </c>
      <c r="F4" s="162" t="s">
        <v>548</v>
      </c>
      <c r="G4" s="162" t="s">
        <v>549</v>
      </c>
      <c r="H4" s="162" t="s">
        <v>582</v>
      </c>
      <c r="L4" s="162" t="s">
        <v>547</v>
      </c>
      <c r="M4" s="162" t="s">
        <v>337</v>
      </c>
      <c r="N4" s="162" t="s">
        <v>615</v>
      </c>
      <c r="O4" s="162" t="s">
        <v>548</v>
      </c>
      <c r="P4" s="162" t="s">
        <v>549</v>
      </c>
      <c r="Q4" s="162" t="s">
        <v>582</v>
      </c>
      <c r="AF4" s="162" t="s">
        <v>615</v>
      </c>
      <c r="AG4" s="162" t="s">
        <v>548</v>
      </c>
      <c r="AH4" s="162" t="s">
        <v>578</v>
      </c>
      <c r="AI4" s="162" t="s">
        <v>583</v>
      </c>
      <c r="AJ4" s="162" t="s">
        <v>596</v>
      </c>
      <c r="AM4" s="177" t="s">
        <v>600</v>
      </c>
      <c r="AN4" s="162" t="s">
        <v>548</v>
      </c>
      <c r="AO4" s="162" t="s">
        <v>578</v>
      </c>
      <c r="AP4" s="162" t="s">
        <v>583</v>
      </c>
      <c r="AQ4" s="162" t="s">
        <v>596</v>
      </c>
    </row>
    <row r="5" spans="1:44" ht="18" x14ac:dyDescent="0.25">
      <c r="B5" s="123" t="s">
        <v>550</v>
      </c>
      <c r="C5" s="11" t="s">
        <v>551</v>
      </c>
      <c r="D5" s="15">
        <f>SUM(E5:J5)</f>
        <v>5.8240000765</v>
      </c>
      <c r="E5" s="178">
        <v>0</v>
      </c>
      <c r="F5" s="178">
        <v>5.68</v>
      </c>
      <c r="G5" s="178">
        <v>7.6500000000000003E-8</v>
      </c>
      <c r="H5" s="178">
        <v>0.14399999999999999</v>
      </c>
      <c r="L5" s="123" t="s">
        <v>550</v>
      </c>
      <c r="M5" s="11" t="s">
        <v>29</v>
      </c>
      <c r="N5" s="180">
        <f>E5/$D5</f>
        <v>0</v>
      </c>
      <c r="O5" s="180">
        <f t="shared" ref="O5:Q19" si="0">F5/$D5</f>
        <v>0.97527471246419717</v>
      </c>
      <c r="P5" s="180">
        <f t="shared" si="0"/>
        <v>1.3135302025266037E-8</v>
      </c>
      <c r="Q5" s="180">
        <f t="shared" si="0"/>
        <v>2.4725274400500773E-2</v>
      </c>
      <c r="T5" s="181"/>
      <c r="AE5" s="287" t="s">
        <v>572</v>
      </c>
      <c r="AF5" s="15">
        <f>D105</f>
        <v>353.10000002370003</v>
      </c>
      <c r="AG5" s="15">
        <f>AN5*Calculations!$C$47</f>
        <v>334.85679309858818</v>
      </c>
      <c r="AH5" s="15">
        <f>AO5*Calculations!$C$47</f>
        <v>283.95160923970673</v>
      </c>
      <c r="AI5" s="15">
        <f>AP5*Calculations!$C$47</f>
        <v>281.42644581567697</v>
      </c>
      <c r="AJ5" s="15">
        <f>AQ5*Calculations!$C$47</f>
        <v>275.65845365571596</v>
      </c>
      <c r="AM5" s="287" t="s">
        <v>572</v>
      </c>
      <c r="AN5" s="15">
        <f>D113</f>
        <v>384.24502739454198</v>
      </c>
      <c r="AO5" s="15">
        <f>D121</f>
        <v>325.83180666999999</v>
      </c>
      <c r="AP5" s="15">
        <f>D129</f>
        <v>322.93420534000001</v>
      </c>
      <c r="AQ5" s="15">
        <f>D137</f>
        <v>316.31548846999999</v>
      </c>
    </row>
    <row r="6" spans="1:44" ht="18" x14ac:dyDescent="0.25">
      <c r="B6" s="123" t="s">
        <v>552</v>
      </c>
      <c r="C6" s="11" t="s">
        <v>551</v>
      </c>
      <c r="D6" s="15">
        <f t="shared" ref="D6:D19" si="1">SUM(E6:J6)</f>
        <v>7.846001639999999</v>
      </c>
      <c r="E6" s="178">
        <v>0</v>
      </c>
      <c r="F6" s="178">
        <v>7.52</v>
      </c>
      <c r="G6" s="178">
        <v>1.64E-6</v>
      </c>
      <c r="H6" s="178">
        <v>0.32600000000000001</v>
      </c>
      <c r="L6" s="123" t="s">
        <v>552</v>
      </c>
      <c r="M6" s="11" t="s">
        <v>29</v>
      </c>
      <c r="N6" s="180">
        <f t="shared" ref="N6:N19" si="2">E6/$D6</f>
        <v>0</v>
      </c>
      <c r="O6" s="180">
        <f t="shared" si="0"/>
        <v>0.95844996535075933</v>
      </c>
      <c r="P6" s="180">
        <f t="shared" si="0"/>
        <v>2.0902366265628261E-7</v>
      </c>
      <c r="Q6" s="180">
        <f t="shared" si="0"/>
        <v>4.154982562557813E-2</v>
      </c>
      <c r="T6" s="181"/>
      <c r="AE6" s="287"/>
      <c r="AF6" s="15">
        <f t="shared" ref="AF6:AI6" si="3">AF5-AG5</f>
        <v>18.243206925111849</v>
      </c>
      <c r="AG6" s="15">
        <f t="shared" si="3"/>
        <v>50.905183858881458</v>
      </c>
      <c r="AH6" s="15">
        <f t="shared" si="3"/>
        <v>2.5251634240297562</v>
      </c>
      <c r="AI6" s="15">
        <f t="shared" si="3"/>
        <v>5.7679921599610111</v>
      </c>
      <c r="AJ6" s="15">
        <f>AJ5-AK5</f>
        <v>275.65845365571596</v>
      </c>
      <c r="AM6" s="287"/>
      <c r="AN6" s="15">
        <f t="shared" ref="AN6:AP6" si="4">AN5-AO5</f>
        <v>58.413220724541986</v>
      </c>
      <c r="AO6" s="15">
        <f t="shared" si="4"/>
        <v>2.8976013299999863</v>
      </c>
      <c r="AP6" s="15">
        <f t="shared" si="4"/>
        <v>6.6187168700000143</v>
      </c>
      <c r="AQ6" s="15">
        <f>AQ5-AR5</f>
        <v>316.31548846999999</v>
      </c>
    </row>
    <row r="7" spans="1:44" x14ac:dyDescent="0.25">
      <c r="B7" s="123" t="s">
        <v>553</v>
      </c>
      <c r="C7" s="11" t="s">
        <v>554</v>
      </c>
      <c r="D7" s="15">
        <f t="shared" si="1"/>
        <v>0.30740002199999999</v>
      </c>
      <c r="E7" s="178">
        <v>0</v>
      </c>
      <c r="F7" s="178">
        <v>0.29599999999999999</v>
      </c>
      <c r="G7" s="178">
        <v>2.1999999999999998E-8</v>
      </c>
      <c r="H7" s="178">
        <v>1.14E-2</v>
      </c>
      <c r="L7" s="123" t="s">
        <v>553</v>
      </c>
      <c r="M7" s="11" t="s">
        <v>29</v>
      </c>
      <c r="N7" s="180">
        <f t="shared" si="2"/>
        <v>0</v>
      </c>
      <c r="O7" s="180">
        <f t="shared" si="0"/>
        <v>0.96291470011670977</v>
      </c>
      <c r="P7" s="180">
        <f t="shared" si="0"/>
        <v>7.1567984468133832E-8</v>
      </c>
      <c r="Q7" s="180">
        <f t="shared" si="0"/>
        <v>3.7085228315305717E-2</v>
      </c>
      <c r="T7" s="181"/>
      <c r="AE7" s="123" t="s">
        <v>597</v>
      </c>
      <c r="AF7" s="182">
        <f>AF6/$AF$5</f>
        <v>5.1665836657851509E-2</v>
      </c>
      <c r="AG7" s="182">
        <f>AG6/$AF$5</f>
        <v>0.14416647934144636</v>
      </c>
      <c r="AH7" s="182">
        <f>AH6/$AF$5</f>
        <v>7.151411565732845E-3</v>
      </c>
      <c r="AI7" s="182">
        <f>AI6/$AF$5</f>
        <v>1.6335293570019439E-2</v>
      </c>
      <c r="AJ7" s="182">
        <f>AJ6/$AF$5</f>
        <v>0.7806809788649498</v>
      </c>
      <c r="AK7" s="183">
        <f>SUM(AF7:AJ7)</f>
        <v>1</v>
      </c>
      <c r="AM7" s="123" t="s">
        <v>597</v>
      </c>
      <c r="AN7" s="174">
        <f>AN6/$AN$5</f>
        <v>0.15202075904696982</v>
      </c>
      <c r="AO7" s="174">
        <f t="shared" ref="AO7:AQ7" si="5">AO6/$AN$5</f>
        <v>7.5410249278899198E-3</v>
      </c>
      <c r="AP7" s="174">
        <f t="shared" si="5"/>
        <v>1.7225250551398626E-2</v>
      </c>
      <c r="AQ7" s="174">
        <f t="shared" si="5"/>
        <v>0.82321296547374168</v>
      </c>
      <c r="AR7" s="184">
        <f>SUM(AN7:AQ7)</f>
        <v>1</v>
      </c>
    </row>
    <row r="8" spans="1:44" x14ac:dyDescent="0.25">
      <c r="B8" s="123" t="s">
        <v>555</v>
      </c>
      <c r="C8" s="11" t="s">
        <v>556</v>
      </c>
      <c r="D8" s="15">
        <f t="shared" si="1"/>
        <v>5502.0150000000003</v>
      </c>
      <c r="E8" s="178">
        <v>0</v>
      </c>
      <c r="F8" s="178">
        <v>5350</v>
      </c>
      <c r="G8" s="178">
        <v>1.4999999999999999E-2</v>
      </c>
      <c r="H8" s="178">
        <v>152</v>
      </c>
      <c r="L8" s="123" t="s">
        <v>555</v>
      </c>
      <c r="M8" s="11" t="s">
        <v>29</v>
      </c>
      <c r="N8" s="180">
        <f t="shared" si="2"/>
        <v>0</v>
      </c>
      <c r="O8" s="180">
        <f t="shared" si="0"/>
        <v>0.9723710313403362</v>
      </c>
      <c r="P8" s="180">
        <f t="shared" si="0"/>
        <v>2.7262739196458021E-6</v>
      </c>
      <c r="Q8" s="180">
        <f t="shared" si="0"/>
        <v>2.762624238574413E-2</v>
      </c>
      <c r="T8" s="181"/>
      <c r="AE8" s="287" t="s">
        <v>588</v>
      </c>
      <c r="AF8" s="178">
        <f>D103</f>
        <v>2.5534002420000003E-4</v>
      </c>
      <c r="AG8" s="178">
        <f>AN8*Calculations!$C$47</f>
        <v>2.4598598975762893E-4</v>
      </c>
      <c r="AH8" s="178">
        <f>AO8*Calculations!$C$47</f>
        <v>1.8692815194026676E-4</v>
      </c>
      <c r="AI8" s="178">
        <f>AP8*Calculations!$C$47</f>
        <v>1.8448996206417691E-4</v>
      </c>
      <c r="AJ8" s="178">
        <f>AQ8*Calculations!$C$47</f>
        <v>1.8442285911884169E-4</v>
      </c>
      <c r="AM8" s="287" t="s">
        <v>588</v>
      </c>
      <c r="AN8" s="178">
        <f>D111</f>
        <v>2.8226661462790005E-4</v>
      </c>
      <c r="AO8" s="178">
        <f>D119</f>
        <v>2.144983E-4</v>
      </c>
      <c r="AP8" s="178">
        <f>D127</f>
        <v>2.117005E-4</v>
      </c>
      <c r="AQ8" s="178">
        <f>D135</f>
        <v>2.1162349999999998E-4</v>
      </c>
    </row>
    <row r="9" spans="1:44" x14ac:dyDescent="0.25">
      <c r="B9" s="123" t="s">
        <v>557</v>
      </c>
      <c r="C9" s="11" t="s">
        <v>558</v>
      </c>
      <c r="D9" s="15">
        <f t="shared" si="1"/>
        <v>5.1450000000054397E-5</v>
      </c>
      <c r="E9" s="178">
        <v>0</v>
      </c>
      <c r="F9" s="178">
        <v>4.8099999999999997E-5</v>
      </c>
      <c r="G9" s="178">
        <v>5.44E-17</v>
      </c>
      <c r="H9" s="178">
        <v>3.3500000000000001E-6</v>
      </c>
      <c r="L9" s="123" t="s">
        <v>557</v>
      </c>
      <c r="M9" s="11" t="s">
        <v>29</v>
      </c>
      <c r="N9" s="180">
        <f t="shared" si="2"/>
        <v>0</v>
      </c>
      <c r="O9" s="180">
        <f t="shared" si="0"/>
        <v>0.93488824100970147</v>
      </c>
      <c r="P9" s="180">
        <f t="shared" si="0"/>
        <v>1.0573372206014088E-12</v>
      </c>
      <c r="Q9" s="180">
        <f t="shared" si="0"/>
        <v>6.5111758989241167E-2</v>
      </c>
      <c r="T9" s="181"/>
      <c r="AE9" s="287"/>
      <c r="AF9" s="178">
        <f t="shared" ref="AF9:AI9" si="6">AF8-AG8</f>
        <v>9.3540344423710935E-6</v>
      </c>
      <c r="AG9" s="178">
        <f t="shared" si="6"/>
        <v>5.9057837817362173E-5</v>
      </c>
      <c r="AH9" s="178">
        <f t="shared" si="6"/>
        <v>2.4381898760898464E-6</v>
      </c>
      <c r="AI9" s="178">
        <f t="shared" si="6"/>
        <v>6.7102945335224037E-8</v>
      </c>
      <c r="AJ9" s="178">
        <f>AJ8-AK8</f>
        <v>1.8442285911884169E-4</v>
      </c>
      <c r="AM9" s="287"/>
      <c r="AN9" s="178">
        <f t="shared" ref="AN9:AP9" si="7">AN8-AO8</f>
        <v>6.7768314627900046E-5</v>
      </c>
      <c r="AO9" s="178">
        <f t="shared" si="7"/>
        <v>2.7977999999999955E-6</v>
      </c>
      <c r="AP9" s="178">
        <f t="shared" si="7"/>
        <v>7.7000000000019761E-8</v>
      </c>
      <c r="AQ9" s="178">
        <f>AQ8-AR8</f>
        <v>2.1162349999999998E-4</v>
      </c>
    </row>
    <row r="10" spans="1:44" ht="18" x14ac:dyDescent="0.25">
      <c r="B10" s="123" t="s">
        <v>559</v>
      </c>
      <c r="C10" s="11" t="s">
        <v>560</v>
      </c>
      <c r="D10" s="15">
        <f t="shared" si="1"/>
        <v>0.12333038700000001</v>
      </c>
      <c r="E10" s="178">
        <v>0</v>
      </c>
      <c r="F10" s="178">
        <v>0.115</v>
      </c>
      <c r="G10" s="178">
        <v>3.8700000000000001E-7</v>
      </c>
      <c r="H10" s="178">
        <v>8.3300000000000006E-3</v>
      </c>
      <c r="L10" s="123" t="s">
        <v>559</v>
      </c>
      <c r="M10" s="11" t="s">
        <v>29</v>
      </c>
      <c r="N10" s="180">
        <f t="shared" si="2"/>
        <v>0</v>
      </c>
      <c r="O10" s="180">
        <f t="shared" si="0"/>
        <v>0.93245470801936259</v>
      </c>
      <c r="P10" s="180">
        <f t="shared" si="0"/>
        <v>3.1379128000303766E-6</v>
      </c>
      <c r="Q10" s="180">
        <f t="shared" si="0"/>
        <v>6.7542154067837312E-2</v>
      </c>
      <c r="T10" s="181"/>
      <c r="AE10" s="123" t="s">
        <v>597</v>
      </c>
      <c r="AF10" s="182">
        <f>AF9/$AF$8</f>
        <v>3.6633639679787784E-2</v>
      </c>
      <c r="AG10" s="182">
        <f>AG9/$AF$8</f>
        <v>0.23129095410088932</v>
      </c>
      <c r="AH10" s="182">
        <f>AH9/$AF$8</f>
        <v>9.5487962912547027E-3</v>
      </c>
      <c r="AI10" s="182">
        <f>AI9/$AF$8</f>
        <v>2.6279838245282046E-4</v>
      </c>
      <c r="AJ10" s="182">
        <f>AJ9/$AF$8</f>
        <v>0.72226381154561536</v>
      </c>
      <c r="AK10" s="183">
        <f>SUM(AF10:AJ10)</f>
        <v>1</v>
      </c>
      <c r="AM10" s="123" t="s">
        <v>597</v>
      </c>
      <c r="AN10" s="174">
        <f>AN9/$AN$8</f>
        <v>0.24008618489025388</v>
      </c>
      <c r="AO10" s="174">
        <f t="shared" ref="AO10:AQ10" si="8">AO9/$AN$8</f>
        <v>9.9119054645843089E-3</v>
      </c>
      <c r="AP10" s="174">
        <f t="shared" si="8"/>
        <v>2.7279173664064224E-4</v>
      </c>
      <c r="AQ10" s="174">
        <f t="shared" si="8"/>
        <v>0.74972911790852115</v>
      </c>
      <c r="AR10" s="184">
        <f>SUM(AN10:AQ10)</f>
        <v>1</v>
      </c>
    </row>
    <row r="11" spans="1:44" x14ac:dyDescent="0.25">
      <c r="B11" s="123" t="s">
        <v>561</v>
      </c>
      <c r="C11" s="11" t="s">
        <v>562</v>
      </c>
      <c r="D11" s="15">
        <f t="shared" si="1"/>
        <v>34300.698000000004</v>
      </c>
      <c r="E11" s="178">
        <v>0</v>
      </c>
      <c r="F11" s="178">
        <v>32700</v>
      </c>
      <c r="G11" s="178">
        <v>0.69799999999999995</v>
      </c>
      <c r="H11" s="178">
        <v>1600</v>
      </c>
      <c r="L11" s="123" t="s">
        <v>561</v>
      </c>
      <c r="M11" s="11" t="s">
        <v>29</v>
      </c>
      <c r="N11" s="180">
        <f t="shared" si="2"/>
        <v>0</v>
      </c>
      <c r="O11" s="180">
        <f t="shared" si="0"/>
        <v>0.95333336948420111</v>
      </c>
      <c r="P11" s="180">
        <f t="shared" si="0"/>
        <v>2.0349440119265208E-5</v>
      </c>
      <c r="Q11" s="180">
        <f t="shared" si="0"/>
        <v>4.6646281075679565E-2</v>
      </c>
      <c r="T11" s="181"/>
      <c r="AE11" s="286" t="s">
        <v>590</v>
      </c>
      <c r="AF11" s="15">
        <f>D104</f>
        <v>133.40003719999999</v>
      </c>
      <c r="AG11" s="15">
        <f>AN11*Calculations!$C$47</f>
        <v>122.91972046640278</v>
      </c>
      <c r="AH11" s="15">
        <f>AO11*Calculations!$C$47</f>
        <v>105.68321568136324</v>
      </c>
      <c r="AI11" s="15">
        <f>AP11*Calculations!$C$47</f>
        <v>105.33183294691028</v>
      </c>
      <c r="AJ11" s="15">
        <f>AQ11*Calculations!$C$47</f>
        <v>104.30046196687864</v>
      </c>
      <c r="AM11" s="286" t="s">
        <v>590</v>
      </c>
      <c r="AN11" s="15">
        <f>D112</f>
        <v>141.04922561340001</v>
      </c>
      <c r="AO11" s="15">
        <f>D120</f>
        <v>121.27049814</v>
      </c>
      <c r="AP11" s="15">
        <f>D128</f>
        <v>120.86728975</v>
      </c>
      <c r="AQ11" s="15">
        <f>D136</f>
        <v>119.68380123</v>
      </c>
    </row>
    <row r="12" spans="1:44" x14ac:dyDescent="0.25">
      <c r="B12" s="123" t="s">
        <v>563</v>
      </c>
      <c r="C12" s="11" t="s">
        <v>564</v>
      </c>
      <c r="D12" s="15">
        <f t="shared" si="1"/>
        <v>14090.000147000001</v>
      </c>
      <c r="E12" s="178">
        <v>0</v>
      </c>
      <c r="F12" s="178">
        <v>12900</v>
      </c>
      <c r="G12" s="178">
        <v>1.47E-4</v>
      </c>
      <c r="H12" s="178">
        <v>1190</v>
      </c>
      <c r="L12" s="123" t="s">
        <v>563</v>
      </c>
      <c r="M12" s="11" t="s">
        <v>29</v>
      </c>
      <c r="N12" s="180">
        <f t="shared" si="2"/>
        <v>0</v>
      </c>
      <c r="O12" s="180">
        <f t="shared" si="0"/>
        <v>0.91554292870228449</v>
      </c>
      <c r="P12" s="180">
        <f t="shared" si="0"/>
        <v>1.0432931048002776E-8</v>
      </c>
      <c r="Q12" s="180">
        <f t="shared" si="0"/>
        <v>8.4457060864784383E-2</v>
      </c>
      <c r="T12" s="181"/>
      <c r="AE12" s="286"/>
      <c r="AF12" s="15">
        <f t="shared" ref="AF12:AI12" si="9">AF11-AG11</f>
        <v>10.480316733597206</v>
      </c>
      <c r="AG12" s="15">
        <f t="shared" si="9"/>
        <v>17.236504785039543</v>
      </c>
      <c r="AH12" s="15">
        <f t="shared" si="9"/>
        <v>0.35138273445295454</v>
      </c>
      <c r="AI12" s="15">
        <f t="shared" si="9"/>
        <v>1.0313709800316389</v>
      </c>
      <c r="AJ12" s="15">
        <f>AJ11-AK11</f>
        <v>104.30046196687864</v>
      </c>
      <c r="AM12" s="286"/>
      <c r="AN12" s="15">
        <f t="shared" ref="AN12:AP12" si="10">AN11-AO11</f>
        <v>19.778727473400011</v>
      </c>
      <c r="AO12" s="15">
        <f t="shared" si="10"/>
        <v>0.40320839000000319</v>
      </c>
      <c r="AP12" s="15">
        <f t="shared" si="10"/>
        <v>1.1834885199999974</v>
      </c>
      <c r="AQ12" s="15">
        <f>AQ11-AR11</f>
        <v>119.68380123</v>
      </c>
    </row>
    <row r="13" spans="1:44" ht="18" x14ac:dyDescent="0.25">
      <c r="B13" s="123" t="s">
        <v>565</v>
      </c>
      <c r="C13" s="11" t="s">
        <v>566</v>
      </c>
      <c r="D13" s="15">
        <f t="shared" si="1"/>
        <v>4.7300009500000009</v>
      </c>
      <c r="E13" s="178">
        <v>0</v>
      </c>
      <c r="F13" s="178">
        <v>4.57</v>
      </c>
      <c r="G13" s="178">
        <v>9.5000000000000001E-7</v>
      </c>
      <c r="H13" s="178">
        <v>0.16</v>
      </c>
      <c r="L13" s="123" t="s">
        <v>565</v>
      </c>
      <c r="M13" s="11" t="s">
        <v>29</v>
      </c>
      <c r="N13" s="180">
        <f t="shared" si="2"/>
        <v>0</v>
      </c>
      <c r="O13" s="180">
        <f t="shared" si="0"/>
        <v>0.96617316747050541</v>
      </c>
      <c r="P13" s="180">
        <f t="shared" si="0"/>
        <v>2.0084562562297157E-7</v>
      </c>
      <c r="Q13" s="180">
        <f t="shared" si="0"/>
        <v>3.3826631683868895E-2</v>
      </c>
      <c r="T13" s="181"/>
      <c r="AE13" s="123" t="s">
        <v>597</v>
      </c>
      <c r="AF13" s="182">
        <f>AF12/$AF$11</f>
        <v>7.8563072046858529E-2</v>
      </c>
      <c r="AG13" s="182">
        <f>AG12/$AF$11</f>
        <v>0.12920914526581215</v>
      </c>
      <c r="AH13" s="182">
        <f>AH12/$AF$11</f>
        <v>2.6340527471228814E-3</v>
      </c>
      <c r="AI13" s="182">
        <f>AI12/$AF$11</f>
        <v>7.7314144859296861E-3</v>
      </c>
      <c r="AJ13" s="182">
        <f>AJ12/$AF$11</f>
        <v>0.78186231545427676</v>
      </c>
      <c r="AK13" s="183">
        <f>SUM(AF13:AJ13)</f>
        <v>1</v>
      </c>
      <c r="AM13" s="123" t="s">
        <v>597</v>
      </c>
      <c r="AN13" s="174">
        <f>AN12/$AN$11</f>
        <v>0.14022570763778078</v>
      </c>
      <c r="AO13" s="174">
        <f t="shared" ref="AO13:AQ13" si="11">AO12/$AN$11</f>
        <v>2.8586359708570952E-3</v>
      </c>
      <c r="AP13" s="174">
        <f t="shared" si="11"/>
        <v>8.3906062926130884E-3</v>
      </c>
      <c r="AQ13" s="174">
        <f t="shared" si="11"/>
        <v>0.84852505009874901</v>
      </c>
      <c r="AR13" s="184">
        <f>SUM(AN13:AQ13)</f>
        <v>1</v>
      </c>
    </row>
    <row r="14" spans="1:44" x14ac:dyDescent="0.25">
      <c r="B14" s="123" t="s">
        <v>567</v>
      </c>
      <c r="C14" s="11" t="s">
        <v>568</v>
      </c>
      <c r="D14" s="15">
        <f t="shared" si="1"/>
        <v>13.662000000000001</v>
      </c>
      <c r="E14" s="178">
        <v>0</v>
      </c>
      <c r="F14" s="178">
        <v>13</v>
      </c>
      <c r="G14" s="178">
        <v>0</v>
      </c>
      <c r="H14" s="178">
        <v>0.66200000000000003</v>
      </c>
      <c r="L14" s="123" t="s">
        <v>567</v>
      </c>
      <c r="M14" s="11" t="s">
        <v>29</v>
      </c>
      <c r="N14" s="180">
        <f t="shared" si="2"/>
        <v>0</v>
      </c>
      <c r="O14" s="180">
        <f t="shared" si="0"/>
        <v>0.9515444298052993</v>
      </c>
      <c r="P14" s="180">
        <f t="shared" si="0"/>
        <v>0</v>
      </c>
      <c r="Q14" s="180">
        <f t="shared" si="0"/>
        <v>4.8455570194700627E-2</v>
      </c>
      <c r="T14" s="181"/>
      <c r="AE14" s="287" t="s">
        <v>593</v>
      </c>
      <c r="AF14" s="15">
        <f>D106</f>
        <v>6129.15</v>
      </c>
      <c r="AG14" s="15">
        <f>AN14*Calculations!$C$47</f>
        <v>5829.7635074505688</v>
      </c>
      <c r="AH14" s="15">
        <f>AO14*Calculations!$C$47</f>
        <v>5198.7926534416274</v>
      </c>
      <c r="AI14" s="15">
        <f>AP14*Calculations!$C$47</f>
        <v>5147.3395335322639</v>
      </c>
      <c r="AJ14" s="15">
        <f>AQ14*Calculations!$C$47</f>
        <v>4985.2239555092856</v>
      </c>
      <c r="AM14" s="287" t="s">
        <v>593</v>
      </c>
      <c r="AN14" s="15">
        <f>D114</f>
        <v>6689.5989115100001</v>
      </c>
      <c r="AO14" s="15">
        <f>D122</f>
        <v>5965.5657783000006</v>
      </c>
      <c r="AP14" s="15">
        <f>D130</f>
        <v>5906.5238061000009</v>
      </c>
      <c r="AQ14" s="15">
        <f>D138</f>
        <v>5720.4977018000009</v>
      </c>
    </row>
    <row r="15" spans="1:44" ht="18" x14ac:dyDescent="0.25">
      <c r="B15" s="123" t="s">
        <v>569</v>
      </c>
      <c r="C15" s="11" t="s">
        <v>566</v>
      </c>
      <c r="D15" s="15">
        <f t="shared" si="1"/>
        <v>1.52460339</v>
      </c>
      <c r="E15" s="178">
        <v>0</v>
      </c>
      <c r="F15" s="178">
        <v>1.48</v>
      </c>
      <c r="G15" s="178">
        <v>3.3900000000000002E-6</v>
      </c>
      <c r="H15" s="178">
        <v>4.4600000000000001E-2</v>
      </c>
      <c r="L15" s="123" t="s">
        <v>569</v>
      </c>
      <c r="M15" s="11" t="s">
        <v>29</v>
      </c>
      <c r="N15" s="180">
        <f t="shared" si="2"/>
        <v>0</v>
      </c>
      <c r="O15" s="180">
        <f t="shared" si="0"/>
        <v>0.97074426680895676</v>
      </c>
      <c r="P15" s="180">
        <f t="shared" si="0"/>
        <v>2.2235290976232189E-6</v>
      </c>
      <c r="Q15" s="180">
        <f t="shared" si="0"/>
        <v>2.9253509661945589E-2</v>
      </c>
      <c r="T15" s="181"/>
      <c r="AE15" s="287"/>
      <c r="AF15" s="15">
        <f t="shared" ref="AF15:AI15" si="12">AF14-AG14</f>
        <v>299.38649254943084</v>
      </c>
      <c r="AG15" s="15">
        <f t="shared" si="12"/>
        <v>630.97085400894139</v>
      </c>
      <c r="AH15" s="15">
        <f t="shared" si="12"/>
        <v>51.453119909363522</v>
      </c>
      <c r="AI15" s="15">
        <f t="shared" si="12"/>
        <v>162.1155780229783</v>
      </c>
      <c r="AJ15" s="15">
        <f>AJ14-AK14</f>
        <v>4985.2239555092856</v>
      </c>
      <c r="AM15" s="287"/>
      <c r="AN15" s="15">
        <f t="shared" ref="AN15:AP15" si="13">AN14-AO14</f>
        <v>724.03313320999951</v>
      </c>
      <c r="AO15" s="15">
        <f t="shared" si="13"/>
        <v>59.041972199999691</v>
      </c>
      <c r="AP15" s="15">
        <f t="shared" si="13"/>
        <v>186.02610430000004</v>
      </c>
      <c r="AQ15" s="15">
        <f>AQ14-AR14</f>
        <v>5720.4977018000009</v>
      </c>
    </row>
    <row r="16" spans="1:44" ht="18" x14ac:dyDescent="0.25">
      <c r="B16" s="123" t="s">
        <v>570</v>
      </c>
      <c r="C16" s="11" t="s">
        <v>571</v>
      </c>
      <c r="D16" s="15">
        <f t="shared" si="1"/>
        <v>0.11622</v>
      </c>
      <c r="E16" s="178">
        <v>0</v>
      </c>
      <c r="F16" s="178">
        <v>0.114</v>
      </c>
      <c r="G16" s="178">
        <v>0</v>
      </c>
      <c r="H16" s="178">
        <v>2.2200000000000002E-3</v>
      </c>
      <c r="L16" s="123" t="s">
        <v>570</v>
      </c>
      <c r="M16" s="11" t="s">
        <v>29</v>
      </c>
      <c r="N16" s="180">
        <f t="shared" si="2"/>
        <v>0</v>
      </c>
      <c r="O16" s="180">
        <f t="shared" si="0"/>
        <v>0.98089829633453796</v>
      </c>
      <c r="P16" s="180">
        <f t="shared" si="0"/>
        <v>0</v>
      </c>
      <c r="Q16" s="180">
        <f t="shared" si="0"/>
        <v>1.9101703665462055E-2</v>
      </c>
      <c r="T16" s="181"/>
      <c r="AE16" s="123" t="s">
        <v>597</v>
      </c>
      <c r="AF16" s="182">
        <f>AF15/$AF$14</f>
        <v>4.8846331473276203E-2</v>
      </c>
      <c r="AG16" s="182">
        <f>AG15/$AF$14</f>
        <v>0.10294589853551331</v>
      </c>
      <c r="AH16" s="182">
        <f>AH15/$AF$14</f>
        <v>8.3948214531156078E-3</v>
      </c>
      <c r="AI16" s="182">
        <f>AI15/$AF$14</f>
        <v>2.6449928297231803E-2</v>
      </c>
      <c r="AJ16" s="182">
        <f>AJ15/$AF$14</f>
        <v>0.81336302024086304</v>
      </c>
      <c r="AK16" s="183">
        <f>SUM(AF16:AJ16)</f>
        <v>1</v>
      </c>
      <c r="AM16" s="123" t="s">
        <v>597</v>
      </c>
      <c r="AN16" s="174">
        <f>AN15/$AN$14</f>
        <v>0.10823266727759141</v>
      </c>
      <c r="AO16" s="174">
        <f t="shared" ref="AO16:AQ16" si="14">AO15/$AN$14</f>
        <v>8.8259360510258948E-3</v>
      </c>
      <c r="AP16" s="174">
        <f t="shared" si="14"/>
        <v>2.7808259771737131E-2</v>
      </c>
      <c r="AQ16" s="174">
        <f t="shared" si="14"/>
        <v>0.85513313689964554</v>
      </c>
      <c r="AR16" s="184">
        <f>SUM(AN16:AQ16)</f>
        <v>1</v>
      </c>
    </row>
    <row r="17" spans="2:45" ht="18" x14ac:dyDescent="0.25">
      <c r="B17" s="171" t="s">
        <v>572</v>
      </c>
      <c r="C17" s="161" t="s">
        <v>573</v>
      </c>
      <c r="D17" s="185">
        <f>SUM(E17:J17)</f>
        <v>353.10000002370003</v>
      </c>
      <c r="E17" s="186">
        <v>0</v>
      </c>
      <c r="F17" s="186">
        <v>335</v>
      </c>
      <c r="G17" s="186">
        <v>2.37E-8</v>
      </c>
      <c r="H17" s="186">
        <v>18.100000000000001</v>
      </c>
      <c r="L17" s="187" t="s">
        <v>572</v>
      </c>
      <c r="M17" s="153" t="s">
        <v>29</v>
      </c>
      <c r="N17" s="188">
        <f t="shared" si="2"/>
        <v>0</v>
      </c>
      <c r="O17" s="188">
        <f t="shared" si="0"/>
        <v>0.94873973372278342</v>
      </c>
      <c r="P17" s="188">
        <f t="shared" si="0"/>
        <v>6.7119796087253643E-11</v>
      </c>
      <c r="Q17" s="188">
        <f t="shared" si="0"/>
        <v>5.1260266210096661E-2</v>
      </c>
      <c r="T17" s="181"/>
    </row>
    <row r="18" spans="2:45" x14ac:dyDescent="0.25">
      <c r="B18" s="123" t="s">
        <v>574</v>
      </c>
      <c r="C18" s="11" t="s">
        <v>575</v>
      </c>
      <c r="D18" s="15">
        <f t="shared" si="1"/>
        <v>6118.03</v>
      </c>
      <c r="E18" s="178">
        <v>0</v>
      </c>
      <c r="F18" s="178">
        <v>5820</v>
      </c>
      <c r="G18" s="178">
        <v>2.0299999999999998</v>
      </c>
      <c r="H18" s="178">
        <v>296</v>
      </c>
      <c r="L18" s="123" t="s">
        <v>574</v>
      </c>
      <c r="M18" s="11" t="s">
        <v>29</v>
      </c>
      <c r="N18" s="180">
        <f t="shared" si="2"/>
        <v>0</v>
      </c>
      <c r="O18" s="180">
        <f t="shared" si="0"/>
        <v>0.95128660696335265</v>
      </c>
      <c r="P18" s="180">
        <f t="shared" si="0"/>
        <v>3.3180615328790475E-4</v>
      </c>
      <c r="Q18" s="180">
        <f t="shared" si="0"/>
        <v>4.8381586883359515E-2</v>
      </c>
      <c r="T18" s="181"/>
    </row>
    <row r="19" spans="2:45" x14ac:dyDescent="0.25">
      <c r="B19" s="123" t="s">
        <v>576</v>
      </c>
      <c r="C19" s="11" t="s">
        <v>577</v>
      </c>
      <c r="D19" s="15">
        <f t="shared" si="1"/>
        <v>11.387</v>
      </c>
      <c r="E19" s="178">
        <v>0</v>
      </c>
      <c r="F19" s="178">
        <v>10.9</v>
      </c>
      <c r="G19" s="178">
        <v>0.12</v>
      </c>
      <c r="H19" s="178">
        <v>0.36699999999999999</v>
      </c>
      <c r="L19" s="123" t="s">
        <v>576</v>
      </c>
      <c r="M19" s="11" t="s">
        <v>29</v>
      </c>
      <c r="N19" s="180">
        <f t="shared" si="2"/>
        <v>0</v>
      </c>
      <c r="O19" s="180">
        <f t="shared" si="0"/>
        <v>0.95723193114955651</v>
      </c>
      <c r="P19" s="180">
        <f t="shared" si="0"/>
        <v>1.0538333186967595E-2</v>
      </c>
      <c r="Q19" s="180">
        <f t="shared" si="0"/>
        <v>3.2229735663475895E-2</v>
      </c>
      <c r="T19" s="181"/>
    </row>
    <row r="20" spans="2:45" x14ac:dyDescent="0.25">
      <c r="I20" s="194"/>
      <c r="J20" s="194"/>
    </row>
    <row r="21" spans="2:45" ht="17.25" x14ac:dyDescent="0.25">
      <c r="B21" s="282" t="s">
        <v>627</v>
      </c>
      <c r="C21" s="282"/>
      <c r="D21" s="282"/>
      <c r="E21" s="282"/>
      <c r="F21" s="282"/>
      <c r="G21" s="282"/>
      <c r="H21" s="282"/>
      <c r="I21" s="282"/>
      <c r="J21" s="282"/>
      <c r="K21" s="282"/>
      <c r="L21" s="282"/>
      <c r="M21" s="282"/>
      <c r="N21" s="282"/>
      <c r="O21" s="282"/>
      <c r="P21" s="282"/>
      <c r="Q21" s="282"/>
      <c r="R21" s="282"/>
      <c r="S21" s="282"/>
      <c r="T21" s="282"/>
      <c r="U21" s="282"/>
      <c r="V21" s="282"/>
      <c r="W21" s="282"/>
      <c r="X21" s="282"/>
      <c r="Y21" s="282"/>
    </row>
    <row r="23" spans="2:45" ht="30.95" customHeight="1" x14ac:dyDescent="0.25">
      <c r="B23" s="162" t="s">
        <v>547</v>
      </c>
      <c r="C23" s="162" t="s">
        <v>337</v>
      </c>
      <c r="D23" s="162" t="s">
        <v>213</v>
      </c>
      <c r="E23" s="162" t="s">
        <v>578</v>
      </c>
      <c r="F23" s="162" t="s">
        <v>218</v>
      </c>
      <c r="G23" s="162" t="s">
        <v>579</v>
      </c>
      <c r="H23" s="162" t="s">
        <v>316</v>
      </c>
      <c r="I23" s="162" t="s">
        <v>580</v>
      </c>
      <c r="J23" s="162" t="s">
        <v>581</v>
      </c>
      <c r="L23" s="122" t="s">
        <v>547</v>
      </c>
      <c r="M23" s="122" t="s">
        <v>337</v>
      </c>
      <c r="N23" s="162" t="s">
        <v>578</v>
      </c>
      <c r="O23" s="162" t="s">
        <v>218</v>
      </c>
      <c r="P23" s="162" t="s">
        <v>579</v>
      </c>
      <c r="Q23" s="162" t="s">
        <v>316</v>
      </c>
      <c r="R23" s="162" t="s">
        <v>580</v>
      </c>
      <c r="S23" s="162" t="s">
        <v>581</v>
      </c>
    </row>
    <row r="24" spans="2:45" ht="18" x14ac:dyDescent="0.25">
      <c r="B24" s="123" t="s">
        <v>550</v>
      </c>
      <c r="C24" s="11" t="s">
        <v>551</v>
      </c>
      <c r="D24" s="15">
        <f>SUM(E24:J24)</f>
        <v>6.5223268846299991</v>
      </c>
      <c r="E24" s="178">
        <f>D43</f>
        <v>5.6259760799999992</v>
      </c>
      <c r="F24" s="178">
        <v>0.87846139999999995</v>
      </c>
      <c r="G24" s="178">
        <v>0</v>
      </c>
      <c r="H24" s="178">
        <v>1.4629999999999999E-8</v>
      </c>
      <c r="I24" s="178">
        <v>1.3694E-4</v>
      </c>
      <c r="J24" s="178">
        <v>1.7752449999999999E-2</v>
      </c>
      <c r="L24" s="123" t="s">
        <v>550</v>
      </c>
      <c r="M24" s="11" t="s">
        <v>29</v>
      </c>
      <c r="N24" s="180">
        <f>E24/$D24</f>
        <v>0.86257192862530863</v>
      </c>
      <c r="O24" s="180">
        <f t="shared" ref="O24:S38" si="15">F24/$D24</f>
        <v>0.13468527651843282</v>
      </c>
      <c r="P24" s="180">
        <f t="shared" si="15"/>
        <v>0</v>
      </c>
      <c r="Q24" s="180">
        <f t="shared" si="15"/>
        <v>2.2430645165111095E-9</v>
      </c>
      <c r="R24" s="180">
        <f t="shared" si="15"/>
        <v>2.0995574496994622E-5</v>
      </c>
      <c r="S24" s="180">
        <f t="shared" si="15"/>
        <v>2.7217970386970367E-3</v>
      </c>
      <c r="T24" s="181"/>
    </row>
    <row r="25" spans="2:45" ht="18" x14ac:dyDescent="0.25">
      <c r="B25" s="123" t="s">
        <v>552</v>
      </c>
      <c r="C25" s="11" t="s">
        <v>551</v>
      </c>
      <c r="D25" s="15">
        <f t="shared" ref="D25:D38" si="16">SUM(E25:J25)</f>
        <v>8.6264906533199994</v>
      </c>
      <c r="E25" s="178">
        <f t="shared" ref="E25:E38" si="17">D44</f>
        <v>4.6936348900000011</v>
      </c>
      <c r="F25" s="178">
        <v>3.9256016200000001</v>
      </c>
      <c r="G25" s="178">
        <v>0</v>
      </c>
      <c r="H25" s="178">
        <v>3.1332E-7</v>
      </c>
      <c r="I25" s="178">
        <v>5.5433000000000001E-4</v>
      </c>
      <c r="J25" s="178">
        <v>6.6994999999999997E-3</v>
      </c>
      <c r="L25" s="123" t="s">
        <v>552</v>
      </c>
      <c r="M25" s="11" t="s">
        <v>29</v>
      </c>
      <c r="N25" s="180">
        <f t="shared" ref="N25:N38" si="18">E25/$D25</f>
        <v>0.54409551677814716</v>
      </c>
      <c r="O25" s="180">
        <f t="shared" si="15"/>
        <v>0.45506356846154922</v>
      </c>
      <c r="P25" s="180">
        <f t="shared" si="15"/>
        <v>0</v>
      </c>
      <c r="Q25" s="180">
        <f t="shared" si="15"/>
        <v>3.6320679241612044E-8</v>
      </c>
      <c r="R25" s="180">
        <f t="shared" si="15"/>
        <v>6.4259039078267595E-5</v>
      </c>
      <c r="S25" s="180">
        <f t="shared" si="15"/>
        <v>7.7661940054634196E-4</v>
      </c>
      <c r="T25" s="181"/>
      <c r="AS25" s="128" t="s">
        <v>572</v>
      </c>
    </row>
    <row r="26" spans="2:45" x14ac:dyDescent="0.25">
      <c r="B26" s="123" t="s">
        <v>553</v>
      </c>
      <c r="C26" s="11" t="s">
        <v>554</v>
      </c>
      <c r="D26" s="15">
        <f t="shared" si="16"/>
        <v>0.34024626421149995</v>
      </c>
      <c r="E26" s="178">
        <f t="shared" si="17"/>
        <v>0.26293210999999994</v>
      </c>
      <c r="F26" s="178">
        <v>7.4588920000000003E-2</v>
      </c>
      <c r="G26" s="178">
        <v>1.9337E-4</v>
      </c>
      <c r="H26" s="178">
        <v>4.2115000000000002E-9</v>
      </c>
      <c r="I26" s="178">
        <v>1.0337199999999999E-3</v>
      </c>
      <c r="J26" s="178">
        <v>1.49814E-3</v>
      </c>
      <c r="L26" s="123" t="s">
        <v>553</v>
      </c>
      <c r="M26" s="11" t="s">
        <v>29</v>
      </c>
      <c r="N26" s="180">
        <f t="shared" si="18"/>
        <v>0.7727700129473255</v>
      </c>
      <c r="O26" s="180">
        <f t="shared" si="15"/>
        <v>0.21922039371352187</v>
      </c>
      <c r="P26" s="180">
        <f t="shared" si="15"/>
        <v>5.6832365359873451E-4</v>
      </c>
      <c r="Q26" s="180">
        <f t="shared" si="15"/>
        <v>1.2377799385277296E-8</v>
      </c>
      <c r="R26" s="180">
        <f t="shared" si="15"/>
        <v>3.0381523876407083E-3</v>
      </c>
      <c r="S26" s="180">
        <f t="shared" si="15"/>
        <v>4.4031049201138138E-3</v>
      </c>
      <c r="T26" s="181"/>
      <c r="AS26" s="128" t="s">
        <v>588</v>
      </c>
    </row>
    <row r="27" spans="2:45" x14ac:dyDescent="0.25">
      <c r="B27" s="123" t="s">
        <v>555</v>
      </c>
      <c r="C27" s="11" t="s">
        <v>556</v>
      </c>
      <c r="D27" s="15">
        <f t="shared" si="16"/>
        <v>8841.7712546499988</v>
      </c>
      <c r="E27" s="178">
        <f t="shared" si="17"/>
        <v>8408.5023258999991</v>
      </c>
      <c r="F27" s="178">
        <v>378.77173499999998</v>
      </c>
      <c r="G27" s="178">
        <v>0</v>
      </c>
      <c r="H27" s="178">
        <v>2.87587E-3</v>
      </c>
      <c r="I27" s="178">
        <v>0.99299488000000002</v>
      </c>
      <c r="J27" s="178">
        <v>53.501322999999999</v>
      </c>
      <c r="L27" s="123" t="s">
        <v>555</v>
      </c>
      <c r="M27" s="11" t="s">
        <v>29</v>
      </c>
      <c r="N27" s="180">
        <f t="shared" si="18"/>
        <v>0.95099749628535823</v>
      </c>
      <c r="O27" s="180">
        <f t="shared" si="15"/>
        <v>4.2838897783156193E-2</v>
      </c>
      <c r="P27" s="180">
        <f t="shared" si="15"/>
        <v>0</v>
      </c>
      <c r="Q27" s="180">
        <f t="shared" si="15"/>
        <v>3.2525948898390059E-7</v>
      </c>
      <c r="R27" s="180">
        <f t="shared" si="15"/>
        <v>1.123072347611087E-4</v>
      </c>
      <c r="S27" s="180">
        <f t="shared" si="15"/>
        <v>6.0509734372355519E-3</v>
      </c>
      <c r="T27" s="181"/>
      <c r="AS27" s="128" t="s">
        <v>590</v>
      </c>
    </row>
    <row r="28" spans="2:45" x14ac:dyDescent="0.25">
      <c r="B28" s="123" t="s">
        <v>557</v>
      </c>
      <c r="C28" s="11" t="s">
        <v>558</v>
      </c>
      <c r="D28" s="15">
        <f t="shared" si="16"/>
        <v>5.5136315200010402E-5</v>
      </c>
      <c r="E28" s="178">
        <f t="shared" si="17"/>
        <v>5.0293259999999999E-5</v>
      </c>
      <c r="F28" s="178">
        <v>4.6820999999999996E-6</v>
      </c>
      <c r="G28" s="178">
        <v>0</v>
      </c>
      <c r="H28" s="178">
        <v>1.0402999999999999E-17</v>
      </c>
      <c r="I28" s="178">
        <v>2.2652E-9</v>
      </c>
      <c r="J28" s="178">
        <v>1.5869E-7</v>
      </c>
      <c r="L28" s="123" t="s">
        <v>557</v>
      </c>
      <c r="M28" s="11" t="s">
        <v>29</v>
      </c>
      <c r="N28" s="180">
        <f t="shared" si="18"/>
        <v>0.91216215333864947</v>
      </c>
      <c r="O28" s="180">
        <f t="shared" si="15"/>
        <v>8.4918623651497049E-2</v>
      </c>
      <c r="P28" s="180">
        <f t="shared" si="15"/>
        <v>0</v>
      </c>
      <c r="Q28" s="180">
        <f t="shared" si="15"/>
        <v>1.8867782444768881E-13</v>
      </c>
      <c r="R28" s="180">
        <f t="shared" si="15"/>
        <v>4.1083630485331613E-5</v>
      </c>
      <c r="S28" s="180">
        <f t="shared" si="15"/>
        <v>2.8781393791794427E-3</v>
      </c>
      <c r="T28" s="181"/>
      <c r="AS28" s="128" t="s">
        <v>593</v>
      </c>
    </row>
    <row r="29" spans="2:45" ht="18" x14ac:dyDescent="0.25">
      <c r="B29" s="123" t="s">
        <v>559</v>
      </c>
      <c r="C29" s="11" t="s">
        <v>560</v>
      </c>
      <c r="D29" s="15">
        <f t="shared" si="16"/>
        <v>0.13250912403400003</v>
      </c>
      <c r="E29" s="178">
        <f t="shared" si="17"/>
        <v>0.11838728000000001</v>
      </c>
      <c r="F29" s="178">
        <v>1.102714E-2</v>
      </c>
      <c r="G29" s="178">
        <v>8.8540000000000005E-4</v>
      </c>
      <c r="H29" s="178">
        <v>7.4034E-8</v>
      </c>
      <c r="I29" s="178">
        <v>2.07245E-3</v>
      </c>
      <c r="J29" s="178">
        <v>1.3678E-4</v>
      </c>
      <c r="L29" s="123" t="s">
        <v>559</v>
      </c>
      <c r="M29" s="11" t="s">
        <v>29</v>
      </c>
      <c r="N29" s="180">
        <f t="shared" si="18"/>
        <v>0.89342738368433749</v>
      </c>
      <c r="O29" s="180">
        <f t="shared" si="15"/>
        <v>8.321796767119663E-2</v>
      </c>
      <c r="P29" s="180">
        <f t="shared" si="15"/>
        <v>6.6818040376813489E-3</v>
      </c>
      <c r="Q29" s="180">
        <f t="shared" si="15"/>
        <v>5.5870869677626042E-7</v>
      </c>
      <c r="R29" s="180">
        <f t="shared" si="15"/>
        <v>1.56400550913629E-2</v>
      </c>
      <c r="S29" s="180">
        <f t="shared" si="15"/>
        <v>1.0322308067247062E-3</v>
      </c>
      <c r="T29" s="181"/>
    </row>
    <row r="30" spans="2:45" x14ac:dyDescent="0.25">
      <c r="B30" s="123" t="s">
        <v>561</v>
      </c>
      <c r="C30" s="11" t="s">
        <v>562</v>
      </c>
      <c r="D30" s="15">
        <f t="shared" si="16"/>
        <v>37433.341900639214</v>
      </c>
      <c r="E30" s="178">
        <f t="shared" si="17"/>
        <v>33151.136864000007</v>
      </c>
      <c r="F30" s="178">
        <v>4219.3481300000003</v>
      </c>
      <c r="G30" s="178">
        <v>1.6391999999999999E-6</v>
      </c>
      <c r="H30" s="178">
        <v>0.13349721000000001</v>
      </c>
      <c r="I30" s="178">
        <v>0.57000578999999996</v>
      </c>
      <c r="J30" s="178">
        <v>62.153402</v>
      </c>
      <c r="L30" s="123" t="s">
        <v>561</v>
      </c>
      <c r="M30" s="11" t="s">
        <v>29</v>
      </c>
      <c r="N30" s="180">
        <f t="shared" si="18"/>
        <v>0.88560452208606888</v>
      </c>
      <c r="O30" s="180">
        <f t="shared" si="15"/>
        <v>0.11271630893120847</v>
      </c>
      <c r="P30" s="180">
        <f t="shared" si="15"/>
        <v>4.3789838597659611E-11</v>
      </c>
      <c r="Q30" s="180">
        <f t="shared" si="15"/>
        <v>3.5662648115775202E-6</v>
      </c>
      <c r="R30" s="180">
        <f t="shared" si="15"/>
        <v>1.5227221537232466E-5</v>
      </c>
      <c r="S30" s="180">
        <f t="shared" si="15"/>
        <v>1.6603754525838545E-3</v>
      </c>
      <c r="T30" s="181"/>
    </row>
    <row r="31" spans="2:45" x14ac:dyDescent="0.25">
      <c r="B31" s="123" t="s">
        <v>563</v>
      </c>
      <c r="C31" s="11" t="s">
        <v>564</v>
      </c>
      <c r="D31" s="15">
        <f t="shared" si="16"/>
        <v>14903.384438131798</v>
      </c>
      <c r="E31" s="178">
        <f t="shared" si="17"/>
        <v>13534.871373099999</v>
      </c>
      <c r="F31" s="178">
        <v>1352.92813</v>
      </c>
      <c r="G31" s="178">
        <v>6.4938000000000004E-6</v>
      </c>
      <c r="H31" s="178">
        <v>2.8178E-5</v>
      </c>
      <c r="I31" s="178">
        <v>0.72918685999999999</v>
      </c>
      <c r="J31" s="178">
        <v>14.8557135</v>
      </c>
      <c r="L31" s="123" t="s">
        <v>563</v>
      </c>
      <c r="M31" s="11" t="s">
        <v>29</v>
      </c>
      <c r="N31" s="180">
        <f t="shared" si="18"/>
        <v>0.90817434316930579</v>
      </c>
      <c r="O31" s="180">
        <f t="shared" si="15"/>
        <v>9.0779925567671615E-2</v>
      </c>
      <c r="P31" s="180">
        <f t="shared" si="15"/>
        <v>4.3572653090696394E-10</v>
      </c>
      <c r="Q31" s="180">
        <f t="shared" si="15"/>
        <v>1.8907114767772997E-9</v>
      </c>
      <c r="R31" s="180">
        <f t="shared" si="15"/>
        <v>4.8927601849570663E-5</v>
      </c>
      <c r="S31" s="180">
        <f t="shared" si="15"/>
        <v>9.9680133473509366E-4</v>
      </c>
      <c r="T31" s="181"/>
    </row>
    <row r="32" spans="2:45" ht="18.75" thickBot="1" x14ac:dyDescent="0.3">
      <c r="B32" s="123" t="s">
        <v>565</v>
      </c>
      <c r="C32" s="11" t="s">
        <v>566</v>
      </c>
      <c r="D32" s="15">
        <f t="shared" si="16"/>
        <v>5.2418305316699998</v>
      </c>
      <c r="E32" s="178">
        <f t="shared" si="17"/>
        <v>4.0635095399999992</v>
      </c>
      <c r="F32" s="178">
        <v>1.1252619100000001</v>
      </c>
      <c r="G32" s="178">
        <v>2.47912E-3</v>
      </c>
      <c r="H32" s="178">
        <v>1.8167000000000001E-7</v>
      </c>
      <c r="I32" s="178">
        <v>2.7223299999999999E-2</v>
      </c>
      <c r="J32" s="178">
        <v>2.3356479999999999E-2</v>
      </c>
      <c r="L32" s="123" t="s">
        <v>565</v>
      </c>
      <c r="M32" s="11" t="s">
        <v>29</v>
      </c>
      <c r="N32" s="180">
        <f t="shared" si="18"/>
        <v>0.77520811011518942</v>
      </c>
      <c r="O32" s="180">
        <f t="shared" si="15"/>
        <v>0.21466964702529248</v>
      </c>
      <c r="P32" s="180">
        <f t="shared" si="15"/>
        <v>4.7294928460996522E-4</v>
      </c>
      <c r="Q32" s="180">
        <f t="shared" si="15"/>
        <v>3.4657740059009803E-8</v>
      </c>
      <c r="R32" s="180">
        <f t="shared" si="15"/>
        <v>5.1934719818816618E-3</v>
      </c>
      <c r="S32" s="180">
        <f t="shared" si="15"/>
        <v>4.4557869352862952E-3</v>
      </c>
      <c r="T32" s="181"/>
    </row>
    <row r="33" spans="2:43" ht="18" thickBot="1" x14ac:dyDescent="0.3">
      <c r="B33" s="123" t="s">
        <v>567</v>
      </c>
      <c r="C33" s="11" t="s">
        <v>568</v>
      </c>
      <c r="D33" s="15">
        <f t="shared" si="16"/>
        <v>14.890125950000002</v>
      </c>
      <c r="E33" s="178">
        <f t="shared" si="17"/>
        <v>7.9971271599999998</v>
      </c>
      <c r="F33" s="178">
        <v>6.8756502800000003</v>
      </c>
      <c r="G33" s="178">
        <v>0</v>
      </c>
      <c r="H33" s="178">
        <v>0</v>
      </c>
      <c r="I33" s="178">
        <v>1.0483000000000001E-3</v>
      </c>
      <c r="J33" s="178">
        <v>1.6300209999999999E-2</v>
      </c>
      <c r="L33" s="123" t="s">
        <v>567</v>
      </c>
      <c r="M33" s="11" t="s">
        <v>29</v>
      </c>
      <c r="N33" s="180">
        <f t="shared" si="18"/>
        <v>0.53707585730663343</v>
      </c>
      <c r="O33" s="180">
        <f t="shared" si="15"/>
        <v>0.4617590410643907</v>
      </c>
      <c r="P33" s="180">
        <f t="shared" si="15"/>
        <v>0</v>
      </c>
      <c r="Q33" s="180">
        <f t="shared" si="15"/>
        <v>0</v>
      </c>
      <c r="R33" s="180">
        <f t="shared" si="15"/>
        <v>7.0402359491123035E-5</v>
      </c>
      <c r="S33" s="180">
        <f t="shared" si="15"/>
        <v>1.094699269484688E-3</v>
      </c>
      <c r="T33" s="181"/>
      <c r="AF33" s="279" t="s">
        <v>609</v>
      </c>
      <c r="AG33" s="280"/>
      <c r="AH33" s="280"/>
      <c r="AI33" s="280"/>
      <c r="AJ33" s="281"/>
      <c r="AN33" s="279" t="s">
        <v>610</v>
      </c>
      <c r="AO33" s="280"/>
      <c r="AP33" s="280"/>
      <c r="AQ33" s="281"/>
    </row>
    <row r="34" spans="2:43" ht="18" x14ac:dyDescent="0.25">
      <c r="B34" s="123" t="s">
        <v>569</v>
      </c>
      <c r="C34" s="11" t="s">
        <v>566</v>
      </c>
      <c r="D34" s="15">
        <f t="shared" si="16"/>
        <v>1.7032749482399998</v>
      </c>
      <c r="E34" s="178">
        <f t="shared" si="17"/>
        <v>1.2644358099999999</v>
      </c>
      <c r="F34" s="178">
        <v>0.42059669999999999</v>
      </c>
      <c r="G34" s="178">
        <v>2.47912E-3</v>
      </c>
      <c r="H34" s="178">
        <v>6.4824000000000004E-7</v>
      </c>
      <c r="I34" s="178">
        <v>7.7548499999999998E-3</v>
      </c>
      <c r="J34" s="178">
        <v>8.0078200000000006E-3</v>
      </c>
      <c r="L34" s="123" t="s">
        <v>569</v>
      </c>
      <c r="M34" s="11" t="s">
        <v>29</v>
      </c>
      <c r="N34" s="180">
        <f t="shared" si="18"/>
        <v>0.74235566683261911</v>
      </c>
      <c r="O34" s="180">
        <f t="shared" si="15"/>
        <v>0.24693411972893989</v>
      </c>
      <c r="P34" s="180">
        <f t="shared" si="15"/>
        <v>1.4555019449805705E-3</v>
      </c>
      <c r="Q34" s="180">
        <f t="shared" si="15"/>
        <v>3.8058447385128792E-7</v>
      </c>
      <c r="R34" s="180">
        <f t="shared" si="15"/>
        <v>4.5529055705381648E-3</v>
      </c>
      <c r="S34" s="180">
        <f t="shared" si="15"/>
        <v>4.7014253384484459E-3</v>
      </c>
      <c r="T34" s="181"/>
    </row>
    <row r="35" spans="2:43" ht="30" x14ac:dyDescent="0.25">
      <c r="B35" s="123" t="s">
        <v>570</v>
      </c>
      <c r="C35" s="11" t="s">
        <v>571</v>
      </c>
      <c r="D35" s="15">
        <f t="shared" si="16"/>
        <v>0.13049439269999999</v>
      </c>
      <c r="E35" s="178">
        <f t="shared" si="17"/>
        <v>4.3825869999999996E-2</v>
      </c>
      <c r="F35" s="178">
        <v>7.4828389999999995E-2</v>
      </c>
      <c r="G35" s="178">
        <v>1.168728E-2</v>
      </c>
      <c r="H35" s="178">
        <v>0</v>
      </c>
      <c r="I35" s="178">
        <v>1.7927E-6</v>
      </c>
      <c r="J35" s="178">
        <v>1.5106000000000001E-4</v>
      </c>
      <c r="L35" s="123" t="s">
        <v>570</v>
      </c>
      <c r="M35" s="11" t="s">
        <v>29</v>
      </c>
      <c r="N35" s="180">
        <f t="shared" si="18"/>
        <v>0.33584485197577379</v>
      </c>
      <c r="O35" s="180">
        <f t="shared" si="15"/>
        <v>0.57342226322342205</v>
      </c>
      <c r="P35" s="180">
        <f t="shared" si="15"/>
        <v>8.9561549413609401E-2</v>
      </c>
      <c r="Q35" s="180">
        <f t="shared" si="15"/>
        <v>0</v>
      </c>
      <c r="R35" s="180">
        <f t="shared" si="15"/>
        <v>1.37377550322896E-5</v>
      </c>
      <c r="S35" s="180">
        <f t="shared" si="15"/>
        <v>1.1575976321624739E-3</v>
      </c>
      <c r="T35" s="181"/>
      <c r="AF35" s="162" t="s">
        <v>615</v>
      </c>
      <c r="AG35" s="162" t="s">
        <v>548</v>
      </c>
      <c r="AH35" s="162" t="s">
        <v>578</v>
      </c>
      <c r="AI35" s="162" t="s">
        <v>583</v>
      </c>
      <c r="AJ35" s="162" t="s">
        <v>596</v>
      </c>
      <c r="AN35" s="162" t="s">
        <v>548</v>
      </c>
      <c r="AO35" s="162" t="s">
        <v>578</v>
      </c>
      <c r="AP35" s="162" t="s">
        <v>583</v>
      </c>
      <c r="AQ35" s="162" t="s">
        <v>596</v>
      </c>
    </row>
    <row r="36" spans="2:43" ht="18" x14ac:dyDescent="0.25">
      <c r="B36" s="171" t="s">
        <v>572</v>
      </c>
      <c r="C36" s="161" t="s">
        <v>573</v>
      </c>
      <c r="D36" s="185">
        <f t="shared" si="16"/>
        <v>384.24502739454198</v>
      </c>
      <c r="E36" s="186">
        <f t="shared" si="17"/>
        <v>325.83180666999999</v>
      </c>
      <c r="F36" s="186">
        <v>48.431099799999998</v>
      </c>
      <c r="G36" s="186">
        <v>2.1249600000000002</v>
      </c>
      <c r="H36" s="186">
        <v>4.5420999999999999E-9</v>
      </c>
      <c r="I36" s="186">
        <v>6.68803503</v>
      </c>
      <c r="J36" s="186">
        <v>1.1691258899999999</v>
      </c>
      <c r="L36" s="187" t="s">
        <v>572</v>
      </c>
      <c r="M36" s="153" t="s">
        <v>29</v>
      </c>
      <c r="N36" s="188">
        <f t="shared" si="18"/>
        <v>0.84797924095303012</v>
      </c>
      <c r="O36" s="188">
        <f t="shared" si="15"/>
        <v>0.12604222916923022</v>
      </c>
      <c r="P36" s="188">
        <f t="shared" si="15"/>
        <v>5.5302212091299123E-3</v>
      </c>
      <c r="Q36" s="188">
        <f t="shared" si="15"/>
        <v>1.1820842629503129E-11</v>
      </c>
      <c r="R36" s="188">
        <f t="shared" si="15"/>
        <v>1.7405651480644251E-2</v>
      </c>
      <c r="S36" s="188">
        <f t="shared" si="15"/>
        <v>3.0426571761449079E-3</v>
      </c>
      <c r="T36" s="181"/>
      <c r="AE36" s="286" t="str">
        <f>$B$24</f>
        <v>Carcinogens</v>
      </c>
      <c r="AF36" s="15">
        <f>D5</f>
        <v>5.8240000765</v>
      </c>
      <c r="AG36" s="15">
        <f>AN36*Calculations!$C$47</f>
        <v>5.6839914856863816</v>
      </c>
      <c r="AH36" s="15">
        <f>AO36*Calculations!$C$47</f>
        <v>4.9028514980983351</v>
      </c>
      <c r="AI36" s="15">
        <f>AP36*Calculations!$C$47</f>
        <v>4.8645084568297081</v>
      </c>
      <c r="AJ36" s="15">
        <f>AQ36*Calculations!$C$47</f>
        <v>4.8124199000892514</v>
      </c>
      <c r="AM36" s="286" t="str">
        <f>$B$24</f>
        <v>Carcinogens</v>
      </c>
      <c r="AN36" s="15">
        <f>D24</f>
        <v>6.5223268846299991</v>
      </c>
      <c r="AO36" s="15">
        <f>D43</f>
        <v>5.6259760799999992</v>
      </c>
      <c r="AP36" s="15">
        <f>D62</f>
        <v>5.5819777999999989</v>
      </c>
      <c r="AQ36" s="15">
        <f>D81</f>
        <v>5.5222066699999992</v>
      </c>
    </row>
    <row r="37" spans="2:43" x14ac:dyDescent="0.25">
      <c r="B37" s="123" t="s">
        <v>574</v>
      </c>
      <c r="C37" s="11" t="s">
        <v>575</v>
      </c>
      <c r="D37" s="15">
        <f t="shared" si="16"/>
        <v>6682.6106436200007</v>
      </c>
      <c r="E37" s="178">
        <f t="shared" si="17"/>
        <v>5964.1778172000004</v>
      </c>
      <c r="F37" s="178">
        <v>556.53892299999995</v>
      </c>
      <c r="G37" s="178">
        <v>24.7912</v>
      </c>
      <c r="H37" s="178">
        <v>0.38869322000000001</v>
      </c>
      <c r="I37" s="178">
        <v>112.90500299999999</v>
      </c>
      <c r="J37" s="178">
        <v>23.8090072</v>
      </c>
      <c r="L37" s="123" t="s">
        <v>574</v>
      </c>
      <c r="M37" s="11" t="s">
        <v>29</v>
      </c>
      <c r="N37" s="180">
        <f t="shared" si="18"/>
        <v>0.89249219134053548</v>
      </c>
      <c r="O37" s="180">
        <f t="shared" si="15"/>
        <v>8.3281662314313776E-2</v>
      </c>
      <c r="P37" s="180">
        <f t="shared" si="15"/>
        <v>3.7098076368804415E-3</v>
      </c>
      <c r="Q37" s="180">
        <f t="shared" si="15"/>
        <v>5.8164876083434829E-5</v>
      </c>
      <c r="R37" s="180">
        <f t="shared" si="15"/>
        <v>1.6895343604642336E-2</v>
      </c>
      <c r="S37" s="180">
        <f t="shared" si="15"/>
        <v>3.5628302275445083E-3</v>
      </c>
      <c r="T37" s="181"/>
      <c r="AE37" s="286"/>
      <c r="AF37" s="15">
        <f>AF36-AG36</f>
        <v>0.14000859081361838</v>
      </c>
      <c r="AG37" s="15">
        <f>AG36-AH36</f>
        <v>0.78113998758804648</v>
      </c>
      <c r="AH37" s="15">
        <f t="shared" ref="AH37:AJ37" si="19">AH36-AI36</f>
        <v>3.8343041268626976E-2</v>
      </c>
      <c r="AI37" s="15">
        <f t="shared" si="19"/>
        <v>5.208855674045676E-2</v>
      </c>
      <c r="AJ37" s="15">
        <f t="shared" si="19"/>
        <v>4.8124199000892514</v>
      </c>
      <c r="AM37" s="286"/>
      <c r="AN37" s="15">
        <f>AN36-AO36</f>
        <v>0.89635080462999994</v>
      </c>
      <c r="AO37" s="15">
        <f t="shared" ref="AO37:AQ37" si="20">AO36-AP36</f>
        <v>4.3998280000000278E-2</v>
      </c>
      <c r="AP37" s="15">
        <f t="shared" si="20"/>
        <v>5.9771129999999673E-2</v>
      </c>
      <c r="AQ37" s="15">
        <f t="shared" si="20"/>
        <v>5.5222066699999992</v>
      </c>
    </row>
    <row r="38" spans="2:43" ht="30" x14ac:dyDescent="0.25">
      <c r="B38" s="123" t="s">
        <v>576</v>
      </c>
      <c r="C38" s="11" t="s">
        <v>577</v>
      </c>
      <c r="D38" s="15">
        <f t="shared" si="16"/>
        <v>12.518268779999998</v>
      </c>
      <c r="E38" s="178">
        <f t="shared" si="17"/>
        <v>6.9179621699999991</v>
      </c>
      <c r="F38" s="178">
        <v>5.5635632599999996</v>
      </c>
      <c r="G38" s="178">
        <v>0</v>
      </c>
      <c r="H38" s="178">
        <v>2.3045179999999998E-2</v>
      </c>
      <c r="I38" s="178">
        <v>4.1555999999999999E-4</v>
      </c>
      <c r="J38" s="178">
        <v>1.328261E-2</v>
      </c>
      <c r="L38" s="123" t="s">
        <v>576</v>
      </c>
      <c r="M38" s="11" t="s">
        <v>29</v>
      </c>
      <c r="N38" s="180">
        <f t="shared" si="18"/>
        <v>0.55262930454509707</v>
      </c>
      <c r="O38" s="180">
        <f t="shared" si="15"/>
        <v>0.44443551722493058</v>
      </c>
      <c r="P38" s="180">
        <f t="shared" si="15"/>
        <v>0</v>
      </c>
      <c r="Q38" s="180">
        <f t="shared" si="15"/>
        <v>1.8409238853233827E-3</v>
      </c>
      <c r="R38" s="180">
        <f t="shared" si="15"/>
        <v>3.3196283551917798E-5</v>
      </c>
      <c r="S38" s="180">
        <f t="shared" si="15"/>
        <v>1.0610580610971674E-3</v>
      </c>
      <c r="T38" s="181"/>
      <c r="AE38" s="123" t="s">
        <v>597</v>
      </c>
      <c r="AF38" s="174">
        <f>AF37/$AF36</f>
        <v>2.403993629370935E-2</v>
      </c>
      <c r="AG38" s="174">
        <f t="shared" ref="AG38:AJ38" si="21">AG37/$AF36</f>
        <v>0.1341243092938765</v>
      </c>
      <c r="AH38" s="174">
        <f t="shared" si="21"/>
        <v>6.5836265049758844E-3</v>
      </c>
      <c r="AI38" s="174">
        <f t="shared" si="21"/>
        <v>8.9437767953739408E-3</v>
      </c>
      <c r="AJ38" s="174">
        <f t="shared" si="21"/>
        <v>0.82630835111206435</v>
      </c>
      <c r="AM38" s="173" t="s">
        <v>597</v>
      </c>
      <c r="AN38" s="174">
        <f>AN37/$AN$36</f>
        <v>0.13742807137469137</v>
      </c>
      <c r="AO38" s="174">
        <f t="shared" ref="AO38:AQ38" si="22">AO37/$AN$36</f>
        <v>6.745794986706838E-3</v>
      </c>
      <c r="AP38" s="174">
        <f t="shared" si="22"/>
        <v>9.1640807118777805E-3</v>
      </c>
      <c r="AQ38" s="174">
        <f t="shared" si="22"/>
        <v>0.84666205292672403</v>
      </c>
    </row>
    <row r="39" spans="2:43" x14ac:dyDescent="0.25">
      <c r="AE39" s="286" t="str">
        <f>$B$25</f>
        <v>Non-carcinogens</v>
      </c>
      <c r="AF39" s="15">
        <f>D6</f>
        <v>7.846001639999999</v>
      </c>
      <c r="AG39" s="15">
        <f>AN39*Calculations!$C$47</f>
        <v>7.5177003992809821</v>
      </c>
      <c r="AH39" s="15">
        <f>AO39*Calculations!$C$47</f>
        <v>4.0903470837300686</v>
      </c>
      <c r="AI39" s="15">
        <f>AP39*Calculations!$C$47</f>
        <v>4.0758770133126472</v>
      </c>
      <c r="AJ39" s="15">
        <f>AQ39*Calculations!$C$47</f>
        <v>4.0593296884330243</v>
      </c>
      <c r="AM39" s="286" t="str">
        <f>$B$25</f>
        <v>Non-carcinogens</v>
      </c>
      <c r="AN39" s="15">
        <f>D25</f>
        <v>8.6264906533199994</v>
      </c>
      <c r="AO39" s="15">
        <f>D44</f>
        <v>4.6936348900000011</v>
      </c>
      <c r="AP39" s="15">
        <f>D63</f>
        <v>4.6770306200000009</v>
      </c>
      <c r="AQ39" s="15">
        <f>D82</f>
        <v>4.6580427200000001</v>
      </c>
    </row>
    <row r="40" spans="2:43" x14ac:dyDescent="0.25">
      <c r="B40" s="283" t="s">
        <v>628</v>
      </c>
      <c r="C40" s="284"/>
      <c r="D40" s="284"/>
      <c r="E40" s="284"/>
      <c r="F40" s="284"/>
      <c r="G40" s="284"/>
      <c r="H40" s="284"/>
      <c r="I40" s="284"/>
      <c r="J40" s="284"/>
      <c r="K40" s="285"/>
      <c r="AE40" s="286"/>
      <c r="AF40" s="15">
        <f>AF39-AG39</f>
        <v>0.3283012407190169</v>
      </c>
      <c r="AG40" s="15">
        <f>AG39-AH39</f>
        <v>3.4273533155509135</v>
      </c>
      <c r="AH40" s="15">
        <f t="shared" ref="AH40:AJ40" si="23">AH39-AI39</f>
        <v>1.4470070417421432E-2</v>
      </c>
      <c r="AI40" s="15">
        <f t="shared" si="23"/>
        <v>1.6547324879622849E-2</v>
      </c>
      <c r="AJ40" s="15">
        <f t="shared" si="23"/>
        <v>4.0593296884330243</v>
      </c>
      <c r="AM40" s="286"/>
      <c r="AN40" s="15">
        <f>AN39-AO39</f>
        <v>3.9328557633199983</v>
      </c>
      <c r="AO40" s="15">
        <f t="shared" ref="AO40:AQ40" si="24">AO39-AP39</f>
        <v>1.6604270000000199E-2</v>
      </c>
      <c r="AP40" s="15">
        <f t="shared" si="24"/>
        <v>1.8987900000000835E-2</v>
      </c>
      <c r="AQ40" s="15">
        <f t="shared" si="24"/>
        <v>4.6580427200000001</v>
      </c>
    </row>
    <row r="41" spans="2:43" ht="30" x14ac:dyDescent="0.25">
      <c r="AE41" s="123" t="s">
        <v>597</v>
      </c>
      <c r="AF41" s="174">
        <f>AF40/$AF39</f>
        <v>4.1843126701030992E-2</v>
      </c>
      <c r="AG41" s="174">
        <f t="shared" ref="AG41:AJ41" si="25">AG40/$AF39</f>
        <v>0.43682801416683287</v>
      </c>
      <c r="AH41" s="174">
        <f t="shared" si="25"/>
        <v>1.8442604375266782E-3</v>
      </c>
      <c r="AI41" s="174">
        <f t="shared" si="25"/>
        <v>2.1090136911598775E-3</v>
      </c>
      <c r="AJ41" s="174">
        <f t="shared" si="25"/>
        <v>0.5173755850034496</v>
      </c>
      <c r="AM41" s="173" t="s">
        <v>597</v>
      </c>
      <c r="AN41" s="174">
        <f>AN40/$AN$39</f>
        <v>0.4559044832218529</v>
      </c>
      <c r="AO41" s="174">
        <f t="shared" ref="AO41:AQ41" si="26">AO40/$AN$39</f>
        <v>1.9248000916351614E-3</v>
      </c>
      <c r="AP41" s="174">
        <f t="shared" si="26"/>
        <v>2.2011152348137227E-3</v>
      </c>
      <c r="AQ41" s="174">
        <f t="shared" si="26"/>
        <v>0.53996960145169826</v>
      </c>
    </row>
    <row r="42" spans="2:43" ht="30.95" customHeight="1" x14ac:dyDescent="0.25">
      <c r="B42" s="162" t="s">
        <v>547</v>
      </c>
      <c r="C42" s="162" t="s">
        <v>337</v>
      </c>
      <c r="D42" s="162" t="s">
        <v>213</v>
      </c>
      <c r="E42" s="162" t="s">
        <v>583</v>
      </c>
      <c r="F42" s="162" t="s">
        <v>581</v>
      </c>
      <c r="H42" s="122" t="s">
        <v>547</v>
      </c>
      <c r="I42" s="122" t="s">
        <v>337</v>
      </c>
      <c r="J42" s="162" t="s">
        <v>583</v>
      </c>
      <c r="K42" s="162" t="s">
        <v>581</v>
      </c>
      <c r="AE42" s="286" t="str">
        <f>$B$26</f>
        <v>Respiratory inorganics</v>
      </c>
      <c r="AF42" s="15">
        <f>D7</f>
        <v>0.30740002199999999</v>
      </c>
      <c r="AG42" s="15">
        <f>AN42*Calculations!$C$47</f>
        <v>0.29651333075197056</v>
      </c>
      <c r="AH42" s="15">
        <f>AO42*Calculations!$C$47</f>
        <v>0.2291366104442549</v>
      </c>
      <c r="AI42" s="15">
        <f>AP42*Calculations!$C$47</f>
        <v>0.22590081055883945</v>
      </c>
      <c r="AJ42" s="15">
        <f>AQ42*Calculations!$C$47</f>
        <v>0.22622701801985098</v>
      </c>
      <c r="AM42" s="286" t="str">
        <f>$B$26</f>
        <v>Respiratory inorganics</v>
      </c>
      <c r="AN42" s="15">
        <f>D26</f>
        <v>0.34024626421149995</v>
      </c>
      <c r="AO42" s="15">
        <f>D45</f>
        <v>0.26293210999999994</v>
      </c>
      <c r="AP42" s="15">
        <f>D64</f>
        <v>0.25921905999999995</v>
      </c>
      <c r="AQ42" s="15">
        <f>D83</f>
        <v>0.25959337999999998</v>
      </c>
    </row>
    <row r="43" spans="2:43" ht="18" x14ac:dyDescent="0.25">
      <c r="B43" s="123" t="s">
        <v>550</v>
      </c>
      <c r="C43" s="11" t="s">
        <v>551</v>
      </c>
      <c r="D43" s="15">
        <f>SUM(E43:F43)</f>
        <v>5.6259760799999992</v>
      </c>
      <c r="E43" s="178">
        <f>D62</f>
        <v>5.5819777999999989</v>
      </c>
      <c r="F43" s="178">
        <v>4.3998280000000001E-2</v>
      </c>
      <c r="H43" s="123" t="s">
        <v>550</v>
      </c>
      <c r="I43" s="11" t="s">
        <v>29</v>
      </c>
      <c r="J43" s="180">
        <f>E43/$D43</f>
        <v>0.9921794406207286</v>
      </c>
      <c r="K43" s="180">
        <f>F43/$D43</f>
        <v>7.8205593792713048E-3</v>
      </c>
      <c r="AE43" s="286"/>
      <c r="AF43" s="15">
        <f>AF42-AG42</f>
        <v>1.0886691248029434E-2</v>
      </c>
      <c r="AG43" s="15">
        <f>AG42-AH42</f>
        <v>6.737672030771566E-2</v>
      </c>
      <c r="AH43" s="15">
        <f t="shared" ref="AH43:AJ43" si="27">AH42-AI42</f>
        <v>3.2357998854154468E-3</v>
      </c>
      <c r="AI43" s="15">
        <f t="shared" si="27"/>
        <v>-3.2620746101152953E-4</v>
      </c>
      <c r="AJ43" s="15">
        <f t="shared" si="27"/>
        <v>0.22622701801985098</v>
      </c>
      <c r="AM43" s="286"/>
      <c r="AN43" s="15">
        <f>AN42-AO42</f>
        <v>7.7314154211500008E-2</v>
      </c>
      <c r="AO43" s="15">
        <f t="shared" ref="AO43:AQ43" si="28">AO42-AP42</f>
        <v>3.7130499999999955E-3</v>
      </c>
      <c r="AP43" s="15">
        <f t="shared" si="28"/>
        <v>-3.7432000000003907E-4</v>
      </c>
      <c r="AQ43" s="15">
        <f t="shared" si="28"/>
        <v>0.25959337999999998</v>
      </c>
    </row>
    <row r="44" spans="2:43" ht="30" x14ac:dyDescent="0.25">
      <c r="B44" s="123" t="s">
        <v>552</v>
      </c>
      <c r="C44" s="11" t="s">
        <v>551</v>
      </c>
      <c r="D44" s="15">
        <f t="shared" ref="D44:D57" si="29">SUM(E44:F44)</f>
        <v>4.6936348900000011</v>
      </c>
      <c r="E44" s="178">
        <f t="shared" ref="E44:E57" si="30">D63</f>
        <v>4.6770306200000009</v>
      </c>
      <c r="F44" s="178">
        <v>1.6604270000000001E-2</v>
      </c>
      <c r="H44" s="123" t="s">
        <v>552</v>
      </c>
      <c r="I44" s="11" t="s">
        <v>29</v>
      </c>
      <c r="J44" s="180">
        <f t="shared" ref="J44:K57" si="31">E44/$D44</f>
        <v>0.99646238567993939</v>
      </c>
      <c r="K44" s="180">
        <f t="shared" si="31"/>
        <v>3.5376143200605867E-3</v>
      </c>
      <c r="AE44" s="123" t="s">
        <v>597</v>
      </c>
      <c r="AF44" s="174">
        <f>AF43/$AF42</f>
        <v>3.5415388643106324E-2</v>
      </c>
      <c r="AG44" s="174">
        <f t="shared" ref="AG44:AJ44" si="32">AG43/$AF42</f>
        <v>0.219182548749836</v>
      </c>
      <c r="AH44" s="174">
        <f t="shared" si="32"/>
        <v>1.0526348906427362E-2</v>
      </c>
      <c r="AI44" s="174">
        <f t="shared" si="32"/>
        <v>-1.061182295593751E-3</v>
      </c>
      <c r="AJ44" s="174">
        <f t="shared" si="32"/>
        <v>0.73593689599622403</v>
      </c>
      <c r="AM44" s="173" t="s">
        <v>597</v>
      </c>
      <c r="AN44" s="174">
        <f>AN43/$AN$42</f>
        <v>0.22722998705267453</v>
      </c>
      <c r="AO44" s="174">
        <f t="shared" ref="AO44:AQ44" si="33">AO43/$AN$42</f>
        <v>1.091283105959962E-2</v>
      </c>
      <c r="AP44" s="174">
        <f t="shared" si="33"/>
        <v>-1.1001443347732353E-3</v>
      </c>
      <c r="AQ44" s="174">
        <f t="shared" si="33"/>
        <v>0.76295732622249912</v>
      </c>
    </row>
    <row r="45" spans="2:43" x14ac:dyDescent="0.25">
      <c r="B45" s="123" t="s">
        <v>553</v>
      </c>
      <c r="C45" s="11" t="s">
        <v>554</v>
      </c>
      <c r="D45" s="15">
        <f t="shared" si="29"/>
        <v>0.26293210999999994</v>
      </c>
      <c r="E45" s="178">
        <f t="shared" si="30"/>
        <v>0.25921905999999995</v>
      </c>
      <c r="F45" s="178">
        <v>3.7130499999999999E-3</v>
      </c>
      <c r="H45" s="123" t="s">
        <v>553</v>
      </c>
      <c r="I45" s="11" t="s">
        <v>29</v>
      </c>
      <c r="J45" s="180">
        <f t="shared" si="31"/>
        <v>0.98587829383029713</v>
      </c>
      <c r="K45" s="180">
        <f t="shared" si="31"/>
        <v>1.4121706169702897E-2</v>
      </c>
      <c r="AE45" s="286" t="str">
        <f>$B$27</f>
        <v>Ionizing radiation</v>
      </c>
      <c r="AF45" s="15">
        <f>D8</f>
        <v>5502.0150000000003</v>
      </c>
      <c r="AG45" s="15">
        <f>AN45*Calculations!$C$47</f>
        <v>7705.3103008755688</v>
      </c>
      <c r="AH45" s="15">
        <f>AO45*Calculations!$C$47</f>
        <v>7327.7308042344457</v>
      </c>
      <c r="AI45" s="15">
        <f>AP45*Calculations!$C$47</f>
        <v>7212.1747427855162</v>
      </c>
      <c r="AJ45" s="15">
        <f>AQ45*Calculations!$C$47</f>
        <v>6733.2401096872009</v>
      </c>
      <c r="AM45" s="286" t="str">
        <f>$B$27</f>
        <v>Ionizing radiation</v>
      </c>
      <c r="AN45" s="15">
        <f>D27</f>
        <v>8841.7712546499988</v>
      </c>
      <c r="AO45" s="15">
        <f>D46</f>
        <v>8408.5023258999991</v>
      </c>
      <c r="AP45" s="15">
        <f>D65</f>
        <v>8275.9028298999983</v>
      </c>
      <c r="AQ45" s="15">
        <f>D84</f>
        <v>7726.3298332999993</v>
      </c>
    </row>
    <row r="46" spans="2:43" x14ac:dyDescent="0.25">
      <c r="B46" s="123" t="s">
        <v>555</v>
      </c>
      <c r="C46" s="11" t="s">
        <v>556</v>
      </c>
      <c r="D46" s="15">
        <f t="shared" si="29"/>
        <v>8408.5023258999991</v>
      </c>
      <c r="E46" s="178">
        <f t="shared" si="30"/>
        <v>8275.9028298999983</v>
      </c>
      <c r="F46" s="178">
        <v>132.59949599999999</v>
      </c>
      <c r="H46" s="123" t="s">
        <v>555</v>
      </c>
      <c r="I46" s="11" t="s">
        <v>29</v>
      </c>
      <c r="J46" s="180">
        <f t="shared" si="31"/>
        <v>0.98423030750772755</v>
      </c>
      <c r="K46" s="180">
        <f t="shared" si="31"/>
        <v>1.5769692492272371E-2</v>
      </c>
      <c r="AE46" s="286"/>
      <c r="AF46" s="15">
        <f>AF45-AG45</f>
        <v>-2203.2953008755685</v>
      </c>
      <c r="AG46" s="15">
        <f>AG45-AH45</f>
        <v>377.57949664112311</v>
      </c>
      <c r="AH46" s="15">
        <f t="shared" ref="AH46:AJ46" si="34">AH45-AI45</f>
        <v>115.55606144892954</v>
      </c>
      <c r="AI46" s="15">
        <f t="shared" si="34"/>
        <v>478.93463309831532</v>
      </c>
      <c r="AJ46" s="15">
        <f t="shared" si="34"/>
        <v>6733.2401096872009</v>
      </c>
      <c r="AM46" s="286"/>
      <c r="AN46" s="15">
        <f>AN45-AO45</f>
        <v>433.26892874999976</v>
      </c>
      <c r="AO46" s="15">
        <f t="shared" ref="AO46:AQ46" si="35">AO45-AP45</f>
        <v>132.59949600000073</v>
      </c>
      <c r="AP46" s="15">
        <f t="shared" si="35"/>
        <v>549.57299659999899</v>
      </c>
      <c r="AQ46" s="15">
        <f t="shared" si="35"/>
        <v>7726.3298332999993</v>
      </c>
    </row>
    <row r="47" spans="2:43" ht="30" x14ac:dyDescent="0.25">
      <c r="B47" s="123" t="s">
        <v>557</v>
      </c>
      <c r="C47" s="11" t="s">
        <v>558</v>
      </c>
      <c r="D47" s="15">
        <f t="shared" si="29"/>
        <v>5.0293259999999999E-5</v>
      </c>
      <c r="E47" s="178">
        <f t="shared" si="30"/>
        <v>4.9899969999999998E-5</v>
      </c>
      <c r="F47" s="178">
        <v>3.9329E-7</v>
      </c>
      <c r="H47" s="123" t="s">
        <v>557</v>
      </c>
      <c r="I47" s="11" t="s">
        <v>29</v>
      </c>
      <c r="J47" s="180">
        <f t="shared" si="31"/>
        <v>0.99218006547994697</v>
      </c>
      <c r="K47" s="180">
        <f t="shared" si="31"/>
        <v>7.8199345200529857E-3</v>
      </c>
      <c r="AE47" s="123" t="s">
        <v>597</v>
      </c>
      <c r="AF47" s="174">
        <f>AF46/$AF45</f>
        <v>-0.40045243440368089</v>
      </c>
      <c r="AG47" s="174">
        <f t="shared" ref="AG47:AJ47" si="36">AG46/$AF45</f>
        <v>6.862567561904559E-2</v>
      </c>
      <c r="AH47" s="174">
        <f t="shared" si="36"/>
        <v>2.1002498439013622E-2</v>
      </c>
      <c r="AI47" s="174">
        <f t="shared" si="36"/>
        <v>8.7047133295404561E-2</v>
      </c>
      <c r="AJ47" s="174">
        <f t="shared" si="36"/>
        <v>1.2237771270502171</v>
      </c>
      <c r="AM47" s="173" t="s">
        <v>597</v>
      </c>
      <c r="AN47" s="174">
        <f>AN46/$AN45</f>
        <v>4.9002503714641814E-2</v>
      </c>
      <c r="AO47" s="174">
        <f t="shared" ref="AO47:AQ47" si="37">AO46/$AN45</f>
        <v>1.4996938077341119E-2</v>
      </c>
      <c r="AP47" s="174">
        <f t="shared" si="37"/>
        <v>6.2156436846403554E-2</v>
      </c>
      <c r="AQ47" s="174">
        <f t="shared" si="37"/>
        <v>0.87384412136161349</v>
      </c>
    </row>
    <row r="48" spans="2:43" ht="18" x14ac:dyDescent="0.25">
      <c r="B48" s="123" t="s">
        <v>559</v>
      </c>
      <c r="C48" s="11" t="s">
        <v>560</v>
      </c>
      <c r="D48" s="15">
        <f t="shared" si="29"/>
        <v>0.11838728000000001</v>
      </c>
      <c r="E48" s="178">
        <f t="shared" si="30"/>
        <v>0.11804829000000001</v>
      </c>
      <c r="F48" s="178">
        <v>3.3899000000000001E-4</v>
      </c>
      <c r="H48" s="123" t="s">
        <v>559</v>
      </c>
      <c r="I48" s="11" t="s">
        <v>29</v>
      </c>
      <c r="J48" s="180">
        <f t="shared" si="31"/>
        <v>0.99713660116188163</v>
      </c>
      <c r="K48" s="180">
        <f t="shared" si="31"/>
        <v>2.8633988381184194E-3</v>
      </c>
      <c r="AE48" s="286" t="str">
        <f>$B$27</f>
        <v>Ionizing radiation</v>
      </c>
      <c r="AF48" s="15">
        <f>D9</f>
        <v>5.1450000000054397E-5</v>
      </c>
      <c r="AG48" s="15">
        <f>AN48*Calculations!$C$47</f>
        <v>4.8049469413668933E-5</v>
      </c>
      <c r="AH48" s="15">
        <f>AO48*Calculations!$C$47</f>
        <v>4.3828907487151832E-5</v>
      </c>
      <c r="AI48" s="15">
        <f>AP48*Calculations!$C$47</f>
        <v>4.3486168300516844E-5</v>
      </c>
      <c r="AJ48" s="15">
        <f>AQ48*Calculations!$C$47</f>
        <v>4.2159848084627164E-5</v>
      </c>
      <c r="AM48" s="286" t="str">
        <f>$B$28</f>
        <v>Ozone layer depletion</v>
      </c>
      <c r="AN48" s="15">
        <f>D28</f>
        <v>5.5136315200010402E-5</v>
      </c>
      <c r="AO48" s="15">
        <f>D47</f>
        <v>5.0293259999999999E-5</v>
      </c>
      <c r="AP48" s="15">
        <f>D66</f>
        <v>4.9899969999999998E-5</v>
      </c>
      <c r="AQ48" s="15">
        <f>D85</f>
        <v>4.8378029999999999E-5</v>
      </c>
    </row>
    <row r="49" spans="2:43" x14ac:dyDescent="0.25">
      <c r="B49" s="123" t="s">
        <v>561</v>
      </c>
      <c r="C49" s="11" t="s">
        <v>562</v>
      </c>
      <c r="D49" s="15">
        <f t="shared" si="29"/>
        <v>33151.136864000007</v>
      </c>
      <c r="E49" s="178">
        <f t="shared" si="30"/>
        <v>32997.093761000004</v>
      </c>
      <c r="F49" s="178">
        <v>154.043103</v>
      </c>
      <c r="H49" s="123" t="s">
        <v>561</v>
      </c>
      <c r="I49" s="11" t="s">
        <v>29</v>
      </c>
      <c r="J49" s="180">
        <f t="shared" si="31"/>
        <v>0.99535330858691351</v>
      </c>
      <c r="K49" s="180">
        <f t="shared" si="31"/>
        <v>4.6466914130863747E-3</v>
      </c>
      <c r="AE49" s="286"/>
      <c r="AF49" s="15">
        <f>AF48-AG48</f>
        <v>3.400530586385464E-6</v>
      </c>
      <c r="AG49" s="15">
        <f>AG48-AH48</f>
        <v>4.2205619265171009E-6</v>
      </c>
      <c r="AH49" s="15">
        <f t="shared" ref="AH49:AJ49" si="38">AH48-AI48</f>
        <v>3.4273918663498817E-7</v>
      </c>
      <c r="AI49" s="15">
        <f t="shared" si="38"/>
        <v>1.3263202158896799E-6</v>
      </c>
      <c r="AJ49" s="15">
        <f t="shared" si="38"/>
        <v>4.2159848084627164E-5</v>
      </c>
      <c r="AM49" s="286"/>
      <c r="AN49" s="15">
        <f>AN48-AO48</f>
        <v>4.8430552000104028E-6</v>
      </c>
      <c r="AO49" s="15">
        <f t="shared" ref="AO49:AQ49" si="39">AO48-AP48</f>
        <v>3.9329000000000111E-7</v>
      </c>
      <c r="AP49" s="15">
        <f t="shared" si="39"/>
        <v>1.5219399999999992E-6</v>
      </c>
      <c r="AQ49" s="15">
        <f t="shared" si="39"/>
        <v>4.8378029999999999E-5</v>
      </c>
    </row>
    <row r="50" spans="2:43" ht="30" x14ac:dyDescent="0.25">
      <c r="B50" s="123" t="s">
        <v>563</v>
      </c>
      <c r="C50" s="11" t="s">
        <v>564</v>
      </c>
      <c r="D50" s="15">
        <f t="shared" si="29"/>
        <v>13534.871373099999</v>
      </c>
      <c r="E50" s="178">
        <f t="shared" si="30"/>
        <v>13498.052467899999</v>
      </c>
      <c r="F50" s="178">
        <v>36.818905200000003</v>
      </c>
      <c r="H50" s="123" t="s">
        <v>563</v>
      </c>
      <c r="I50" s="11" t="s">
        <v>29</v>
      </c>
      <c r="J50" s="180">
        <f t="shared" si="31"/>
        <v>0.99727970039869196</v>
      </c>
      <c r="K50" s="180">
        <f t="shared" si="31"/>
        <v>2.7202996013080748E-3</v>
      </c>
      <c r="AE50" s="123" t="s">
        <v>597</v>
      </c>
      <c r="AF50" s="174">
        <f>AF49/$AF48</f>
        <v>6.6093888948141277E-2</v>
      </c>
      <c r="AG50" s="174">
        <f t="shared" ref="AG50:AJ50" si="40">AG49/$AF48</f>
        <v>8.203230177867131E-2</v>
      </c>
      <c r="AH50" s="174">
        <f t="shared" si="40"/>
        <v>6.6615974078644471E-3</v>
      </c>
      <c r="AI50" s="174">
        <f t="shared" si="40"/>
        <v>2.5778818578975269E-2</v>
      </c>
      <c r="AJ50" s="174">
        <f t="shared" si="40"/>
        <v>0.81943339328634768</v>
      </c>
      <c r="AM50" s="173" t="s">
        <v>597</v>
      </c>
      <c r="AN50" s="174">
        <f>AN49/$AN48</f>
        <v>8.7837846661350499E-2</v>
      </c>
      <c r="AO50" s="174">
        <f t="shared" ref="AO50:AQ50" si="41">AO49/$AN48</f>
        <v>7.1330483107787902E-3</v>
      </c>
      <c r="AP50" s="174">
        <f t="shared" si="41"/>
        <v>2.7603222929915926E-2</v>
      </c>
      <c r="AQ50" s="174">
        <f t="shared" si="41"/>
        <v>0.8774258820979548</v>
      </c>
    </row>
    <row r="51" spans="2:43" ht="18" x14ac:dyDescent="0.25">
      <c r="B51" s="123" t="s">
        <v>565</v>
      </c>
      <c r="C51" s="11" t="s">
        <v>566</v>
      </c>
      <c r="D51" s="15">
        <f t="shared" si="29"/>
        <v>4.0635095399999992</v>
      </c>
      <c r="E51" s="178">
        <f t="shared" si="30"/>
        <v>4.0056220399999996</v>
      </c>
      <c r="F51" s="178">
        <v>5.7887500000000001E-2</v>
      </c>
      <c r="H51" s="123" t="s">
        <v>565</v>
      </c>
      <c r="I51" s="11" t="s">
        <v>29</v>
      </c>
      <c r="J51" s="180">
        <f t="shared" si="31"/>
        <v>0.98575430931558738</v>
      </c>
      <c r="K51" s="180">
        <f t="shared" si="31"/>
        <v>1.4245690684412669E-2</v>
      </c>
      <c r="AE51" s="286" t="str">
        <f>$B$29</f>
        <v>Respiratory organics</v>
      </c>
      <c r="AF51" s="15">
        <f>D10</f>
        <v>0.12333038700000001</v>
      </c>
      <c r="AG51" s="15">
        <f>AN51*Calculations!$C$47</f>
        <v>0.11547730527887265</v>
      </c>
      <c r="AH51" s="15">
        <f>AO51*Calculations!$C$47</f>
        <v>0.10317058673022073</v>
      </c>
      <c r="AI51" s="15">
        <f>AP51*Calculations!$C$47</f>
        <v>0.10287516819204942</v>
      </c>
      <c r="AJ51" s="15">
        <f>AQ51*Calculations!$C$47</f>
        <v>0.10217019510595933</v>
      </c>
      <c r="AM51" s="286" t="str">
        <f>$B$29</f>
        <v>Respiratory organics</v>
      </c>
      <c r="AN51" s="15">
        <f>D29</f>
        <v>0.13250912403400003</v>
      </c>
      <c r="AO51" s="15">
        <f>D48</f>
        <v>0.11838728000000001</v>
      </c>
      <c r="AP51" s="15">
        <f>D67</f>
        <v>0.11804829000000001</v>
      </c>
      <c r="AQ51" s="15">
        <f>D86</f>
        <v>0.11723934000000001</v>
      </c>
    </row>
    <row r="52" spans="2:43" x14ac:dyDescent="0.25">
      <c r="B52" s="123" t="s">
        <v>567</v>
      </c>
      <c r="C52" s="11" t="s">
        <v>568</v>
      </c>
      <c r="D52" s="15">
        <f t="shared" si="29"/>
        <v>7.9971271599999998</v>
      </c>
      <c r="E52" s="178">
        <f t="shared" si="30"/>
        <v>7.9567281799999998</v>
      </c>
      <c r="F52" s="178">
        <v>4.0398980000000001E-2</v>
      </c>
      <c r="H52" s="123" t="s">
        <v>567</v>
      </c>
      <c r="I52" s="11" t="s">
        <v>29</v>
      </c>
      <c r="J52" s="180">
        <f t="shared" si="31"/>
        <v>0.99494831341408851</v>
      </c>
      <c r="K52" s="180">
        <f t="shared" si="31"/>
        <v>5.0516865859114336E-3</v>
      </c>
      <c r="AE52" s="286"/>
      <c r="AF52" s="15">
        <f>AF51-AG51</f>
        <v>7.853081721127364E-3</v>
      </c>
      <c r="AG52" s="15">
        <f>AG51-AH51</f>
        <v>1.2306718548651924E-2</v>
      </c>
      <c r="AH52" s="15">
        <f t="shared" ref="AH52:AJ52" si="42">AH51-AI51</f>
        <v>2.9541853817130481E-4</v>
      </c>
      <c r="AI52" s="15">
        <f t="shared" si="42"/>
        <v>7.0497308609009102E-4</v>
      </c>
      <c r="AJ52" s="15">
        <f t="shared" si="42"/>
        <v>0.10217019510595933</v>
      </c>
      <c r="AM52" s="286"/>
      <c r="AN52" s="15">
        <f>AN51-AO51</f>
        <v>1.412184403400002E-2</v>
      </c>
      <c r="AO52" s="15">
        <f t="shared" ref="AO52:AQ52" si="43">AO51-AP51</f>
        <v>3.3898999999999735E-4</v>
      </c>
      <c r="AP52" s="15">
        <f t="shared" si="43"/>
        <v>8.0895000000000272E-4</v>
      </c>
      <c r="AQ52" s="15">
        <f t="shared" si="43"/>
        <v>0.11723934000000001</v>
      </c>
    </row>
    <row r="53" spans="2:43" ht="30" x14ac:dyDescent="0.25">
      <c r="B53" s="123" t="s">
        <v>569</v>
      </c>
      <c r="C53" s="11" t="s">
        <v>566</v>
      </c>
      <c r="D53" s="15">
        <f t="shared" si="29"/>
        <v>1.2644358099999999</v>
      </c>
      <c r="E53" s="178">
        <f t="shared" si="30"/>
        <v>1.24458895</v>
      </c>
      <c r="F53" s="178">
        <v>1.9846860000000001E-2</v>
      </c>
      <c r="H53" s="123" t="s">
        <v>569</v>
      </c>
      <c r="I53" s="11" t="s">
        <v>29</v>
      </c>
      <c r="J53" s="180">
        <f t="shared" si="31"/>
        <v>0.98430378209551028</v>
      </c>
      <c r="K53" s="180">
        <f t="shared" si="31"/>
        <v>1.5696217904489752E-2</v>
      </c>
      <c r="AE53" s="123" t="s">
        <v>597</v>
      </c>
      <c r="AF53" s="174">
        <f>AF52/$AF51</f>
        <v>6.3675156724573995E-2</v>
      </c>
      <c r="AG53" s="174">
        <f t="shared" ref="AG53:AJ53" si="44">AG52/$AF51</f>
        <v>9.9786588269214813E-2</v>
      </c>
      <c r="AH53" s="174">
        <f t="shared" si="44"/>
        <v>2.3953426674263559E-3</v>
      </c>
      <c r="AI53" s="174">
        <f t="shared" si="44"/>
        <v>5.7161345491447369E-3</v>
      </c>
      <c r="AJ53" s="174">
        <f t="shared" si="44"/>
        <v>0.82842677778964013</v>
      </c>
      <c r="AM53" s="173" t="s">
        <v>597</v>
      </c>
      <c r="AN53" s="174">
        <f>AN52/$AN51</f>
        <v>0.10657261631566252</v>
      </c>
      <c r="AO53" s="174">
        <f t="shared" ref="AO53:AQ53" si="45">AO52/$AN51</f>
        <v>2.5582389323848911E-3</v>
      </c>
      <c r="AP53" s="174">
        <f t="shared" si="45"/>
        <v>6.1048626341567028E-3</v>
      </c>
      <c r="AQ53" s="174">
        <f t="shared" si="45"/>
        <v>0.8847642821177959</v>
      </c>
    </row>
    <row r="54" spans="2:43" ht="18" x14ac:dyDescent="0.25">
      <c r="B54" s="123" t="s">
        <v>570</v>
      </c>
      <c r="C54" s="11" t="s">
        <v>571</v>
      </c>
      <c r="D54" s="15">
        <f t="shared" si="29"/>
        <v>4.3825869999999996E-2</v>
      </c>
      <c r="E54" s="178">
        <f t="shared" si="30"/>
        <v>4.3451479999999994E-2</v>
      </c>
      <c r="F54" s="178">
        <v>3.7439E-4</v>
      </c>
      <c r="H54" s="123" t="s">
        <v>570</v>
      </c>
      <c r="I54" s="11" t="s">
        <v>29</v>
      </c>
      <c r="J54" s="180">
        <f t="shared" si="31"/>
        <v>0.99145732874213333</v>
      </c>
      <c r="K54" s="180">
        <f t="shared" si="31"/>
        <v>8.5426712578666446E-3</v>
      </c>
      <c r="AE54" s="286" t="str">
        <f>$B$30</f>
        <v>Aquatic ecotoxicity</v>
      </c>
      <c r="AF54" s="15">
        <f>D11</f>
        <v>34300.698000000004</v>
      </c>
      <c r="AG54" s="15">
        <f>AN54*Calculations!$C$47</f>
        <v>32621.915523035106</v>
      </c>
      <c r="AH54" s="15">
        <f>AO54*Calculations!$C$47</f>
        <v>28890.115906309613</v>
      </c>
      <c r="AI54" s="15">
        <f>AP54*Calculations!$C$47</f>
        <v>28755.872452804691</v>
      </c>
      <c r="AJ54" s="15">
        <f>AQ54*Calculations!$C$47</f>
        <v>28344.87683079029</v>
      </c>
      <c r="AM54" s="286" t="str">
        <f>$B$30</f>
        <v>Aquatic ecotoxicity</v>
      </c>
      <c r="AN54" s="15">
        <f>D30</f>
        <v>37433.341900639214</v>
      </c>
      <c r="AO54" s="15">
        <f>D49</f>
        <v>33151.136864000007</v>
      </c>
      <c r="AP54" s="15">
        <f>D68</f>
        <v>32997.093761000004</v>
      </c>
      <c r="AQ54" s="15">
        <f>D87</f>
        <v>32525.480142</v>
      </c>
    </row>
    <row r="55" spans="2:43" ht="18" x14ac:dyDescent="0.25">
      <c r="B55" s="171" t="s">
        <v>572</v>
      </c>
      <c r="C55" s="161" t="s">
        <v>573</v>
      </c>
      <c r="D55" s="185">
        <f t="shared" si="29"/>
        <v>325.83180666999999</v>
      </c>
      <c r="E55" s="186">
        <f t="shared" si="30"/>
        <v>322.93420534000001</v>
      </c>
      <c r="F55" s="186">
        <v>2.8976013300000001</v>
      </c>
      <c r="H55" s="123" t="s">
        <v>572</v>
      </c>
      <c r="I55" s="11" t="s">
        <v>29</v>
      </c>
      <c r="J55" s="180">
        <f t="shared" si="31"/>
        <v>0.99110706422551731</v>
      </c>
      <c r="K55" s="180">
        <f t="shared" si="31"/>
        <v>8.8929357744827811E-3</v>
      </c>
      <c r="AE55" s="286"/>
      <c r="AF55" s="15">
        <f>AF54-AG54</f>
        <v>1678.7824769648978</v>
      </c>
      <c r="AG55" s="15">
        <f>AG54-AH54</f>
        <v>3731.7996167254933</v>
      </c>
      <c r="AH55" s="15">
        <f t="shared" ref="AH55:AJ55" si="46">AH54-AI54</f>
        <v>134.24345350492149</v>
      </c>
      <c r="AI55" s="15">
        <f t="shared" si="46"/>
        <v>410.99562201440131</v>
      </c>
      <c r="AJ55" s="15">
        <f t="shared" si="46"/>
        <v>28344.87683079029</v>
      </c>
      <c r="AM55" s="286"/>
      <c r="AN55" s="15">
        <f>AN54-AO54</f>
        <v>4282.2050366392068</v>
      </c>
      <c r="AO55" s="15">
        <f t="shared" ref="AO55:AQ55" si="47">AO54-AP54</f>
        <v>154.04310300000361</v>
      </c>
      <c r="AP55" s="15">
        <f t="shared" si="47"/>
        <v>471.61361900000338</v>
      </c>
      <c r="AQ55" s="15">
        <f t="shared" si="47"/>
        <v>32525.480142</v>
      </c>
    </row>
    <row r="56" spans="2:43" ht="30" x14ac:dyDescent="0.25">
      <c r="B56" s="123" t="s">
        <v>574</v>
      </c>
      <c r="C56" s="11" t="s">
        <v>575</v>
      </c>
      <c r="D56" s="15">
        <f t="shared" si="29"/>
        <v>5964.1778172000004</v>
      </c>
      <c r="E56" s="178">
        <f t="shared" si="30"/>
        <v>5905.1687651000002</v>
      </c>
      <c r="F56" s="178">
        <v>59.009052099999998</v>
      </c>
      <c r="H56" s="123" t="s">
        <v>574</v>
      </c>
      <c r="I56" s="11" t="s">
        <v>29</v>
      </c>
      <c r="J56" s="180">
        <f t="shared" si="31"/>
        <v>0.99010608772766218</v>
      </c>
      <c r="K56" s="180">
        <f t="shared" si="31"/>
        <v>9.8939122723378063E-3</v>
      </c>
      <c r="AE56" s="123" t="s">
        <v>597</v>
      </c>
      <c r="AF56" s="174">
        <f>AF55/$AF54</f>
        <v>4.8943099553393855E-2</v>
      </c>
      <c r="AG56" s="174">
        <f t="shared" ref="AG56:AJ56" si="48">AG55/$AF54</f>
        <v>0.10879660864993164</v>
      </c>
      <c r="AH56" s="174">
        <f t="shared" si="48"/>
        <v>3.9137236654753051E-3</v>
      </c>
      <c r="AI56" s="174">
        <f t="shared" si="48"/>
        <v>1.1982135815848449E-2</v>
      </c>
      <c r="AJ56" s="174">
        <f t="shared" si="48"/>
        <v>0.82636443231535073</v>
      </c>
      <c r="AM56" s="173" t="s">
        <v>597</v>
      </c>
      <c r="AN56" s="174">
        <f>AN55/$AN54</f>
        <v>0.11439547791393115</v>
      </c>
      <c r="AO56" s="174">
        <f t="shared" ref="AO56:AQ56" si="49">AO55/$AN54</f>
        <v>4.1151309281678948E-3</v>
      </c>
      <c r="AP56" s="174">
        <f t="shared" si="49"/>
        <v>1.2598758087157323E-2</v>
      </c>
      <c r="AQ56" s="174">
        <f t="shared" si="49"/>
        <v>0.86889063307074366</v>
      </c>
    </row>
    <row r="57" spans="2:43" x14ac:dyDescent="0.25">
      <c r="B57" s="123" t="s">
        <v>576</v>
      </c>
      <c r="C57" s="11" t="s">
        <v>577</v>
      </c>
      <c r="D57" s="15">
        <f t="shared" si="29"/>
        <v>6.9179621699999991</v>
      </c>
      <c r="E57" s="178">
        <f t="shared" si="30"/>
        <v>6.8850420899999989</v>
      </c>
      <c r="F57" s="178">
        <v>3.2920079999999997E-2</v>
      </c>
      <c r="H57" s="123" t="s">
        <v>576</v>
      </c>
      <c r="I57" s="11" t="s">
        <v>29</v>
      </c>
      <c r="J57" s="180">
        <f t="shared" si="31"/>
        <v>0.99524136166243304</v>
      </c>
      <c r="K57" s="180">
        <f t="shared" si="31"/>
        <v>4.7586383375669717E-3</v>
      </c>
      <c r="AE57" s="286" t="str">
        <f>$B$31</f>
        <v>Terrestrial ecotoxicity</v>
      </c>
      <c r="AF57" s="15">
        <f>D12</f>
        <v>14090.000147000001</v>
      </c>
      <c r="AG57" s="15">
        <f>AN57*Calculations!$C$47</f>
        <v>12987.805081323757</v>
      </c>
      <c r="AH57" s="15">
        <f>AO57*Calculations!$C$47</f>
        <v>11795.191348942175</v>
      </c>
      <c r="AI57" s="15">
        <f>AP57*Calculations!$C$47</f>
        <v>11763.104894618296</v>
      </c>
      <c r="AJ57" s="15">
        <f>AQ57*Calculations!$C$47</f>
        <v>11666.563375264885</v>
      </c>
      <c r="AM57" s="286" t="str">
        <f>$B$31</f>
        <v>Terrestrial ecotoxicity</v>
      </c>
      <c r="AN57" s="15">
        <f>D31</f>
        <v>14903.384438131798</v>
      </c>
      <c r="AO57" s="15">
        <f>D50</f>
        <v>13534.871373099999</v>
      </c>
      <c r="AP57" s="15">
        <f>D69</f>
        <v>13498.052467899999</v>
      </c>
      <c r="AQ57" s="15">
        <f>D88</f>
        <v>13387.2719805</v>
      </c>
    </row>
    <row r="58" spans="2:43" x14ac:dyDescent="0.25">
      <c r="AE58" s="286"/>
      <c r="AF58" s="15">
        <f>AF57-AG57</f>
        <v>1102.1950656762438</v>
      </c>
      <c r="AG58" s="15">
        <f>AG57-AH57</f>
        <v>1192.6137323815819</v>
      </c>
      <c r="AH58" s="15">
        <f t="shared" ref="AH58:AJ58" si="50">AH57-AI57</f>
        <v>32.08645432387857</v>
      </c>
      <c r="AI58" s="15">
        <f t="shared" si="50"/>
        <v>96.541519353411786</v>
      </c>
      <c r="AJ58" s="15">
        <f t="shared" si="50"/>
        <v>11666.563375264885</v>
      </c>
      <c r="AM58" s="286"/>
      <c r="AN58" s="15">
        <f>AN57-AO57</f>
        <v>1368.5130650317988</v>
      </c>
      <c r="AO58" s="15">
        <f t="shared" ref="AO58:AQ58" si="51">AO57-AP57</f>
        <v>36.81890519999979</v>
      </c>
      <c r="AP58" s="15">
        <f t="shared" si="51"/>
        <v>110.7804873999994</v>
      </c>
      <c r="AQ58" s="15">
        <f t="shared" si="51"/>
        <v>13387.2719805</v>
      </c>
    </row>
    <row r="59" spans="2:43" ht="30" x14ac:dyDescent="0.25">
      <c r="B59" s="282" t="s">
        <v>629</v>
      </c>
      <c r="C59" s="282"/>
      <c r="D59" s="282"/>
      <c r="E59" s="282"/>
      <c r="F59" s="282"/>
      <c r="G59" s="282"/>
      <c r="H59" s="282"/>
      <c r="I59" s="282"/>
      <c r="J59" s="282"/>
      <c r="K59" s="282"/>
      <c r="L59" s="282"/>
      <c r="M59" s="282"/>
      <c r="AE59" s="123" t="s">
        <v>597</v>
      </c>
      <c r="AF59" s="174">
        <f>AF58/$AF57</f>
        <v>7.8225340963599621E-2</v>
      </c>
      <c r="AG59" s="174">
        <f t="shared" ref="AG59:AJ59" si="52">AG58/$AF57</f>
        <v>8.4642563515906669E-2</v>
      </c>
      <c r="AH59" s="174">
        <f t="shared" si="52"/>
        <v>2.2772501056865014E-3</v>
      </c>
      <c r="AI59" s="174">
        <f t="shared" si="52"/>
        <v>6.8517756100923187E-3</v>
      </c>
      <c r="AJ59" s="174">
        <f t="shared" si="52"/>
        <v>0.82800306980471494</v>
      </c>
      <c r="AM59" s="173" t="s">
        <v>597</v>
      </c>
      <c r="AN59" s="174">
        <f>AN58/$AN57</f>
        <v>9.1825656830694199E-2</v>
      </c>
      <c r="AO59" s="174">
        <f t="shared" ref="AO59:AQ59" si="53">AO58/$AN57</f>
        <v>2.4705063036416712E-3</v>
      </c>
      <c r="AP59" s="174">
        <f t="shared" si="53"/>
        <v>7.4332436273036387E-3</v>
      </c>
      <c r="AQ59" s="174">
        <f t="shared" si="53"/>
        <v>0.89827059323836045</v>
      </c>
    </row>
    <row r="60" spans="2:43" x14ac:dyDescent="0.25">
      <c r="AE60" s="286" t="str">
        <f>$B$32</f>
        <v>Terrestrial acid/nutri</v>
      </c>
      <c r="AF60" s="15">
        <f>D13</f>
        <v>4.7300009500000009</v>
      </c>
      <c r="AG60" s="15">
        <f>AN60*Calculations!$C$47</f>
        <v>4.5680813977040327</v>
      </c>
      <c r="AH60" s="15">
        <f>AO60*Calculations!$C$47</f>
        <v>3.5412137471664966</v>
      </c>
      <c r="AI60" s="15">
        <f>AP60*Calculations!$C$47</f>
        <v>3.4907667114769727</v>
      </c>
      <c r="AJ60" s="15">
        <f>AQ60*Calculations!$C$47</f>
        <v>3.3519815763821383</v>
      </c>
      <c r="AM60" s="286" t="str">
        <f>$B$32</f>
        <v>Terrestrial acid/nutri</v>
      </c>
      <c r="AN60" s="15">
        <f>D32</f>
        <v>5.2418305316699998</v>
      </c>
      <c r="AO60" s="15">
        <f>D51</f>
        <v>4.0635095399999992</v>
      </c>
      <c r="AP60" s="15">
        <f>D70</f>
        <v>4.0056220399999996</v>
      </c>
      <c r="AQ60" s="15">
        <f>D89</f>
        <v>3.8463674000000001</v>
      </c>
    </row>
    <row r="61" spans="2:43" ht="30.95" customHeight="1" x14ac:dyDescent="0.25">
      <c r="B61" s="162" t="s">
        <v>547</v>
      </c>
      <c r="C61" s="162" t="s">
        <v>337</v>
      </c>
      <c r="D61" s="162" t="s">
        <v>595</v>
      </c>
      <c r="E61" s="162" t="s">
        <v>584</v>
      </c>
      <c r="F61" s="162" t="s">
        <v>581</v>
      </c>
      <c r="G61" s="162" t="s">
        <v>335</v>
      </c>
      <c r="I61" s="122" t="s">
        <v>547</v>
      </c>
      <c r="J61" s="122" t="s">
        <v>337</v>
      </c>
      <c r="K61" s="162" t="s">
        <v>584</v>
      </c>
      <c r="L61" s="162" t="s">
        <v>581</v>
      </c>
      <c r="M61" s="162" t="s">
        <v>335</v>
      </c>
      <c r="AE61" s="286"/>
      <c r="AF61" s="15">
        <f>AF60-AG60</f>
        <v>0.16191955229596822</v>
      </c>
      <c r="AG61" s="15">
        <f>AG60-AH60</f>
        <v>1.026867650537536</v>
      </c>
      <c r="AH61" s="15">
        <f t="shared" ref="AH61:AJ61" si="54">AH60-AI60</f>
        <v>5.0447035689523911E-2</v>
      </c>
      <c r="AI61" s="15">
        <f t="shared" si="54"/>
        <v>0.13878513509483437</v>
      </c>
      <c r="AJ61" s="15">
        <f t="shared" si="54"/>
        <v>3.3519815763821383</v>
      </c>
      <c r="AM61" s="286"/>
      <c r="AN61" s="15">
        <f>AN60-AO60</f>
        <v>1.1783209916700006</v>
      </c>
      <c r="AO61" s="15">
        <f t="shared" ref="AO61:AQ61" si="55">AO60-AP60</f>
        <v>5.7887499999999648E-2</v>
      </c>
      <c r="AP61" s="15">
        <f t="shared" si="55"/>
        <v>0.15925463999999945</v>
      </c>
      <c r="AQ61" s="15">
        <f t="shared" si="55"/>
        <v>3.8463674000000001</v>
      </c>
    </row>
    <row r="62" spans="2:43" ht="30" x14ac:dyDescent="0.25">
      <c r="B62" s="123" t="s">
        <v>550</v>
      </c>
      <c r="C62" s="11" t="s">
        <v>551</v>
      </c>
      <c r="D62" s="15">
        <f>SUM(E62:G62)</f>
        <v>5.5819777999999989</v>
      </c>
      <c r="E62" s="178">
        <f>D81</f>
        <v>5.5222066699999992</v>
      </c>
      <c r="F62" s="178">
        <v>0.20771533</v>
      </c>
      <c r="G62" s="178">
        <v>-0.1479442</v>
      </c>
      <c r="H62" s="179">
        <f>SUM(E62:F62)</f>
        <v>5.7299219999999993</v>
      </c>
      <c r="I62" s="123" t="s">
        <v>550</v>
      </c>
      <c r="J62" s="11" t="s">
        <v>29</v>
      </c>
      <c r="K62" s="180">
        <f>E62/$H62</f>
        <v>0.96374901263926449</v>
      </c>
      <c r="L62" s="180">
        <f t="shared" ref="L62:M76" si="56">F62/$H62</f>
        <v>3.6250987360735454E-2</v>
      </c>
      <c r="M62" s="180">
        <f t="shared" si="56"/>
        <v>-2.5819583582464126E-2</v>
      </c>
      <c r="AE62" s="123" t="s">
        <v>597</v>
      </c>
      <c r="AF62" s="174">
        <f>AF61/$AF60</f>
        <v>3.4232456612079153E-2</v>
      </c>
      <c r="AG62" s="174">
        <f t="shared" ref="AG62:AJ62" si="57">AG61/$AF60</f>
        <v>0.21709671126758143</v>
      </c>
      <c r="AH62" s="174">
        <f t="shared" si="57"/>
        <v>1.0665333098828216E-2</v>
      </c>
      <c r="AI62" s="174">
        <f t="shared" si="57"/>
        <v>2.9341460300305933E-2</v>
      </c>
      <c r="AJ62" s="174">
        <f t="shared" si="57"/>
        <v>0.70866403872120531</v>
      </c>
      <c r="AM62" s="173" t="s">
        <v>597</v>
      </c>
      <c r="AN62" s="174">
        <f>AN61/$AN60</f>
        <v>0.22479188988481055</v>
      </c>
      <c r="AO62" s="174">
        <f t="shared" ref="AO62:AQ62" si="58">AO61/$AN60</f>
        <v>1.1043374952749038E-2</v>
      </c>
      <c r="AP62" s="174">
        <f t="shared" si="58"/>
        <v>3.0381493456878766E-2</v>
      </c>
      <c r="AQ62" s="174">
        <f t="shared" si="58"/>
        <v>0.73378324170556164</v>
      </c>
    </row>
    <row r="63" spans="2:43" ht="18" x14ac:dyDescent="0.25">
      <c r="B63" s="123" t="s">
        <v>552</v>
      </c>
      <c r="C63" s="11" t="s">
        <v>551</v>
      </c>
      <c r="D63" s="15">
        <f t="shared" ref="D63:D76" si="59">SUM(E63:G63)</f>
        <v>4.6770306200000009</v>
      </c>
      <c r="E63" s="178">
        <f t="shared" ref="E63:E76" si="60">D82</f>
        <v>4.6580427200000001</v>
      </c>
      <c r="F63" s="178">
        <v>7.8388570000000005E-2</v>
      </c>
      <c r="G63" s="178">
        <v>-5.9400670000000003E-2</v>
      </c>
      <c r="H63" s="179">
        <f t="shared" ref="H63:H76" si="61">SUM(E63:F63)</f>
        <v>4.7364312900000005</v>
      </c>
      <c r="I63" s="123" t="s">
        <v>552</v>
      </c>
      <c r="J63" s="11" t="s">
        <v>29</v>
      </c>
      <c r="K63" s="180">
        <f t="shared" ref="K63:K76" si="62">E63/$H63</f>
        <v>0.98344986653443034</v>
      </c>
      <c r="L63" s="180">
        <f t="shared" si="56"/>
        <v>1.6550133465569602E-2</v>
      </c>
      <c r="M63" s="180">
        <f t="shared" si="56"/>
        <v>-1.2541229115982804E-2</v>
      </c>
      <c r="AE63" s="286" t="str">
        <f>$B$33</f>
        <v>Land occupation</v>
      </c>
      <c r="AF63" s="15">
        <f>D14</f>
        <v>13.662000000000001</v>
      </c>
      <c r="AG63" s="15">
        <f>AN63*Calculations!$C$47</f>
        <v>12.976250748799917</v>
      </c>
      <c r="AH63" s="15">
        <f>AO63*Calculations!$C$47</f>
        <v>6.9692309955375586</v>
      </c>
      <c r="AI63" s="15">
        <f>AP63*Calculations!$C$47</f>
        <v>6.9340246248032829</v>
      </c>
      <c r="AJ63" s="15">
        <f>AQ63*Calculations!$C$47</f>
        <v>6.8397502764108928</v>
      </c>
      <c r="AM63" s="286" t="str">
        <f>$B$33</f>
        <v>Land occupation</v>
      </c>
      <c r="AN63" s="15">
        <f>D33</f>
        <v>14.890125950000002</v>
      </c>
      <c r="AO63" s="15">
        <f>D52</f>
        <v>7.9971271599999998</v>
      </c>
      <c r="AP63" s="15">
        <f>D71</f>
        <v>7.9567281799999998</v>
      </c>
      <c r="AQ63" s="15">
        <f>D90</f>
        <v>7.8485492499999996</v>
      </c>
    </row>
    <row r="64" spans="2:43" x14ac:dyDescent="0.25">
      <c r="B64" s="123" t="s">
        <v>553</v>
      </c>
      <c r="C64" s="11" t="s">
        <v>554</v>
      </c>
      <c r="D64" s="15">
        <f t="shared" si="59"/>
        <v>0.25921905999999995</v>
      </c>
      <c r="E64" s="178">
        <f t="shared" si="60"/>
        <v>0.25959337999999998</v>
      </c>
      <c r="F64" s="178">
        <v>1.752927E-2</v>
      </c>
      <c r="G64" s="178">
        <v>-1.790359E-2</v>
      </c>
      <c r="H64" s="179">
        <f t="shared" si="61"/>
        <v>0.27712264999999997</v>
      </c>
      <c r="I64" s="123" t="s">
        <v>553</v>
      </c>
      <c r="J64" s="11" t="s">
        <v>29</v>
      </c>
      <c r="K64" s="180">
        <f t="shared" si="62"/>
        <v>0.93674544466141618</v>
      </c>
      <c r="L64" s="180">
        <f t="shared" si="56"/>
        <v>6.3254555338583845E-2</v>
      </c>
      <c r="M64" s="180">
        <f t="shared" si="56"/>
        <v>-6.4605292999327199E-2</v>
      </c>
      <c r="AE64" s="286"/>
      <c r="AF64" s="15">
        <f>AF63-AG63</f>
        <v>0.68574925120008423</v>
      </c>
      <c r="AG64" s="15">
        <f>AG63-AH63</f>
        <v>6.0070197532623579</v>
      </c>
      <c r="AH64" s="15">
        <f t="shared" ref="AH64:AJ64" si="63">AH63-AI63</f>
        <v>3.5206370734275794E-2</v>
      </c>
      <c r="AI64" s="15">
        <f t="shared" si="63"/>
        <v>9.4274348392390017E-2</v>
      </c>
      <c r="AJ64" s="15">
        <f t="shared" si="63"/>
        <v>6.8397502764108928</v>
      </c>
      <c r="AM64" s="286"/>
      <c r="AN64" s="15">
        <f>AN63-AO63</f>
        <v>6.8929987900000018</v>
      </c>
      <c r="AO64" s="15">
        <f t="shared" ref="AO64:AQ64" si="64">AO63-AP63</f>
        <v>4.0398979999999973E-2</v>
      </c>
      <c r="AP64" s="15">
        <f t="shared" si="64"/>
        <v>0.10817893000000023</v>
      </c>
      <c r="AQ64" s="15">
        <f t="shared" si="64"/>
        <v>7.8485492499999996</v>
      </c>
    </row>
    <row r="65" spans="2:43" ht="30" x14ac:dyDescent="0.25">
      <c r="B65" s="123" t="s">
        <v>555</v>
      </c>
      <c r="C65" s="11" t="s">
        <v>556</v>
      </c>
      <c r="D65" s="15">
        <f t="shared" si="59"/>
        <v>8275.9028298999983</v>
      </c>
      <c r="E65" s="178">
        <f t="shared" si="60"/>
        <v>7726.3298332999993</v>
      </c>
      <c r="F65" s="178">
        <v>626.00058100000001</v>
      </c>
      <c r="G65" s="178">
        <v>-76.427584400000001</v>
      </c>
      <c r="H65" s="179">
        <f t="shared" si="61"/>
        <v>8352.3304142999987</v>
      </c>
      <c r="I65" s="123" t="s">
        <v>555</v>
      </c>
      <c r="J65" s="11" t="s">
        <v>29</v>
      </c>
      <c r="K65" s="180">
        <f t="shared" si="62"/>
        <v>0.92505078822932751</v>
      </c>
      <c r="L65" s="180">
        <f t="shared" si="56"/>
        <v>7.4949211770672569E-2</v>
      </c>
      <c r="M65" s="180">
        <f t="shared" si="56"/>
        <v>-9.1504503065573863E-3</v>
      </c>
      <c r="AE65" s="123" t="s">
        <v>597</v>
      </c>
      <c r="AF65" s="174">
        <f>AF64/$AF63</f>
        <v>5.0193913863276547E-2</v>
      </c>
      <c r="AG65" s="174">
        <f t="shared" ref="AG65:AJ65" si="65">AG64/$AF63</f>
        <v>0.43968816814978462</v>
      </c>
      <c r="AH65" s="174">
        <f t="shared" si="65"/>
        <v>2.5769558435277261E-3</v>
      </c>
      <c r="AI65" s="174">
        <f t="shared" si="65"/>
        <v>6.900479314330992E-3</v>
      </c>
      <c r="AJ65" s="174">
        <f t="shared" si="65"/>
        <v>0.50064048282908014</v>
      </c>
      <c r="AM65" s="173" t="s">
        <v>597</v>
      </c>
      <c r="AN65" s="174">
        <f>AN64/$AN63</f>
        <v>0.46292414269336662</v>
      </c>
      <c r="AO65" s="174">
        <f t="shared" ref="AO65:AQ65" si="66">AO64/$AN63</f>
        <v>2.7131389039728015E-3</v>
      </c>
      <c r="AP65" s="174">
        <f t="shared" si="66"/>
        <v>7.2651453965706866E-3</v>
      </c>
      <c r="AQ65" s="174">
        <f t="shared" si="66"/>
        <v>0.52709757300608995</v>
      </c>
    </row>
    <row r="66" spans="2:43" x14ac:dyDescent="0.25">
      <c r="B66" s="123" t="s">
        <v>557</v>
      </c>
      <c r="C66" s="11" t="s">
        <v>558</v>
      </c>
      <c r="D66" s="15">
        <f t="shared" si="59"/>
        <v>4.9899969999999998E-5</v>
      </c>
      <c r="E66" s="178">
        <f t="shared" si="60"/>
        <v>4.8378029999999999E-5</v>
      </c>
      <c r="F66" s="178">
        <v>1.8566999999999999E-6</v>
      </c>
      <c r="G66" s="178">
        <v>-3.3476000000000001E-7</v>
      </c>
      <c r="H66" s="179">
        <f t="shared" si="61"/>
        <v>5.0234729999999997E-5</v>
      </c>
      <c r="I66" s="123" t="s">
        <v>557</v>
      </c>
      <c r="J66" s="11" t="s">
        <v>29</v>
      </c>
      <c r="K66" s="180">
        <f t="shared" si="62"/>
        <v>0.96303951469431603</v>
      </c>
      <c r="L66" s="180">
        <f t="shared" si="56"/>
        <v>3.6960485305683938E-2</v>
      </c>
      <c r="M66" s="180">
        <f t="shared" si="56"/>
        <v>-6.6639155819091696E-3</v>
      </c>
      <c r="AE66" s="286" t="str">
        <f>$B$34</f>
        <v>Aquatic acidification</v>
      </c>
      <c r="AF66" s="15">
        <f>D15</f>
        <v>1.52460339</v>
      </c>
      <c r="AG66" s="15">
        <f>AN66*Calculations!$C$47</f>
        <v>1.4843476070470334</v>
      </c>
      <c r="AH66" s="15">
        <f>AO66*Calculations!$C$47</f>
        <v>1.101913857640803</v>
      </c>
      <c r="AI66" s="15">
        <f>AP66*Calculations!$C$47</f>
        <v>1.0846179776192961</v>
      </c>
      <c r="AJ66" s="15">
        <f>AQ66*Calculations!$C$47</f>
        <v>1.0363521885279059</v>
      </c>
      <c r="AM66" s="286" t="str">
        <f>$B$34</f>
        <v>Aquatic acidification</v>
      </c>
      <c r="AN66" s="15">
        <f>D34</f>
        <v>1.7032749482399998</v>
      </c>
      <c r="AO66" s="15">
        <f>D53</f>
        <v>1.2644358099999999</v>
      </c>
      <c r="AP66" s="15">
        <f>D72</f>
        <v>1.24458895</v>
      </c>
      <c r="AQ66" s="15">
        <f>D91</f>
        <v>1.1892044100000001</v>
      </c>
    </row>
    <row r="67" spans="2:43" ht="18" x14ac:dyDescent="0.25">
      <c r="B67" s="123" t="s">
        <v>559</v>
      </c>
      <c r="C67" s="11" t="s">
        <v>560</v>
      </c>
      <c r="D67" s="15">
        <f t="shared" si="59"/>
        <v>0.11804829000000001</v>
      </c>
      <c r="E67" s="178">
        <f t="shared" si="60"/>
        <v>0.11723934000000001</v>
      </c>
      <c r="F67" s="178">
        <v>1.60038E-3</v>
      </c>
      <c r="G67" s="178">
        <v>-7.9142999999999998E-4</v>
      </c>
      <c r="H67" s="179">
        <f t="shared" si="61"/>
        <v>0.11883972000000001</v>
      </c>
      <c r="I67" s="123" t="s">
        <v>559</v>
      </c>
      <c r="J67" s="11" t="s">
        <v>29</v>
      </c>
      <c r="K67" s="180">
        <f t="shared" si="62"/>
        <v>0.98653329038472992</v>
      </c>
      <c r="L67" s="180">
        <f t="shared" si="56"/>
        <v>1.3466709615270045E-2</v>
      </c>
      <c r="M67" s="180">
        <f t="shared" si="56"/>
        <v>-6.659642079264407E-3</v>
      </c>
      <c r="AE67" s="286"/>
      <c r="AF67" s="15">
        <f>AF66-AG66</f>
        <v>4.0255782952966612E-2</v>
      </c>
      <c r="AG67" s="15">
        <f>AG66-AH66</f>
        <v>0.38243374940623043</v>
      </c>
      <c r="AH67" s="15">
        <f t="shared" ref="AH67:AJ67" si="67">AH66-AI66</f>
        <v>1.7295880021506838E-2</v>
      </c>
      <c r="AI67" s="15">
        <f t="shared" si="67"/>
        <v>4.8265789091390232E-2</v>
      </c>
      <c r="AJ67" s="15">
        <f t="shared" si="67"/>
        <v>1.0363521885279059</v>
      </c>
      <c r="AM67" s="286"/>
      <c r="AN67" s="15">
        <f>AN66-AO66</f>
        <v>0.43883913823999987</v>
      </c>
      <c r="AO67" s="15">
        <f t="shared" ref="AO67:AQ67" si="68">AO66-AP66</f>
        <v>1.9846859999999911E-2</v>
      </c>
      <c r="AP67" s="15">
        <f t="shared" si="68"/>
        <v>5.5384539999999927E-2</v>
      </c>
      <c r="AQ67" s="15">
        <f t="shared" si="68"/>
        <v>1.1892044100000001</v>
      </c>
    </row>
    <row r="68" spans="2:43" ht="30" x14ac:dyDescent="0.25">
      <c r="B68" s="123" t="s">
        <v>561</v>
      </c>
      <c r="C68" s="11" t="s">
        <v>562</v>
      </c>
      <c r="D68" s="15">
        <f t="shared" si="59"/>
        <v>32997.093761000004</v>
      </c>
      <c r="E68" s="178">
        <f t="shared" si="60"/>
        <v>32525.480142</v>
      </c>
      <c r="F68" s="178">
        <v>727.23558800000001</v>
      </c>
      <c r="G68" s="178">
        <v>-255.62196900000001</v>
      </c>
      <c r="H68" s="179">
        <f t="shared" si="61"/>
        <v>33252.715730000004</v>
      </c>
      <c r="I68" s="123" t="s">
        <v>561</v>
      </c>
      <c r="J68" s="11" t="s">
        <v>29</v>
      </c>
      <c r="K68" s="180">
        <f t="shared" si="62"/>
        <v>0.9781300392453689</v>
      </c>
      <c r="L68" s="180">
        <f t="shared" si="56"/>
        <v>2.186996075463097E-2</v>
      </c>
      <c r="M68" s="180">
        <f t="shared" si="56"/>
        <v>-7.6872509023190082E-3</v>
      </c>
      <c r="AE68" s="123" t="s">
        <v>597</v>
      </c>
      <c r="AF68" s="174">
        <f>AF67/$AF66</f>
        <v>2.6404101694255458E-2</v>
      </c>
      <c r="AG68" s="174">
        <f t="shared" ref="AG68:AJ68" si="69">AG67/$AF66</f>
        <v>0.25084146599348073</v>
      </c>
      <c r="AH68" s="174">
        <f t="shared" si="69"/>
        <v>1.1344511061009012E-2</v>
      </c>
      <c r="AI68" s="174">
        <f t="shared" si="69"/>
        <v>3.1657931110457671E-2</v>
      </c>
      <c r="AJ68" s="174">
        <f t="shared" si="69"/>
        <v>0.67975199014079712</v>
      </c>
      <c r="AM68" s="173" t="s">
        <v>597</v>
      </c>
      <c r="AN68" s="174">
        <f>AN67/$AN66</f>
        <v>0.25764433316738083</v>
      </c>
      <c r="AO68" s="174">
        <f t="shared" ref="AO68:AQ68" si="70">AO67/$AN66</f>
        <v>1.1652176309237533E-2</v>
      </c>
      <c r="AP68" s="174">
        <f t="shared" si="70"/>
        <v>3.2516500085455362E-2</v>
      </c>
      <c r="AQ68" s="174">
        <f t="shared" si="70"/>
        <v>0.69818699043792631</v>
      </c>
    </row>
    <row r="69" spans="2:43" x14ac:dyDescent="0.25">
      <c r="B69" s="123" t="s">
        <v>563</v>
      </c>
      <c r="C69" s="11" t="s">
        <v>564</v>
      </c>
      <c r="D69" s="15">
        <f t="shared" si="59"/>
        <v>13498.052467899999</v>
      </c>
      <c r="E69" s="178">
        <f t="shared" si="60"/>
        <v>13387.2719805</v>
      </c>
      <c r="F69" s="178">
        <v>173.821597</v>
      </c>
      <c r="G69" s="178">
        <v>-63.041109599999999</v>
      </c>
      <c r="H69" s="179">
        <f t="shared" si="61"/>
        <v>13561.0935775</v>
      </c>
      <c r="I69" s="123" t="s">
        <v>563</v>
      </c>
      <c r="J69" s="11" t="s">
        <v>29</v>
      </c>
      <c r="K69" s="180">
        <f t="shared" si="62"/>
        <v>0.98718233186677529</v>
      </c>
      <c r="L69" s="180">
        <f t="shared" si="56"/>
        <v>1.2817668133224708E-2</v>
      </c>
      <c r="M69" s="180">
        <f t="shared" si="56"/>
        <v>-4.6486744774473926E-3</v>
      </c>
      <c r="AE69" s="286" t="str">
        <f>$B$35</f>
        <v>Aquatic eutrophication</v>
      </c>
      <c r="AF69" s="15">
        <f>D16</f>
        <v>0.11622</v>
      </c>
      <c r="AG69" s="15">
        <f>AN69*Calculations!$C$47</f>
        <v>0.11372153376496892</v>
      </c>
      <c r="AH69" s="15">
        <f>AO69*Calculations!$C$47</f>
        <v>3.8192791673753952E-2</v>
      </c>
      <c r="AI69" s="15">
        <f>AP69*Calculations!$C$47</f>
        <v>3.7866523210064888E-2</v>
      </c>
      <c r="AJ69" s="15">
        <f>AQ69*Calculations!$C$47</f>
        <v>3.7518084630410516E-2</v>
      </c>
      <c r="AM69" s="286" t="str">
        <f>$B$35</f>
        <v>Aquatic eutrophication</v>
      </c>
      <c r="AN69" s="15">
        <f>D35</f>
        <v>0.13049439269999999</v>
      </c>
      <c r="AO69" s="15">
        <f>D54</f>
        <v>4.3825869999999996E-2</v>
      </c>
      <c r="AP69" s="15">
        <f>D73</f>
        <v>4.3451479999999994E-2</v>
      </c>
      <c r="AQ69" s="15">
        <f>D92</f>
        <v>4.3051649999999997E-2</v>
      </c>
    </row>
    <row r="70" spans="2:43" ht="18" x14ac:dyDescent="0.25">
      <c r="B70" s="123" t="s">
        <v>565</v>
      </c>
      <c r="C70" s="11" t="s">
        <v>566</v>
      </c>
      <c r="D70" s="15">
        <f t="shared" si="59"/>
        <v>4.0056220399999996</v>
      </c>
      <c r="E70" s="178">
        <f t="shared" si="60"/>
        <v>3.8463674000000001</v>
      </c>
      <c r="F70" s="178">
        <v>0.27328615000000001</v>
      </c>
      <c r="G70" s="178">
        <v>-0.11403151</v>
      </c>
      <c r="H70" s="179">
        <f t="shared" si="61"/>
        <v>4.1196535499999998</v>
      </c>
      <c r="I70" s="123" t="s">
        <v>565</v>
      </c>
      <c r="J70" s="11" t="s">
        <v>29</v>
      </c>
      <c r="K70" s="180">
        <f t="shared" si="62"/>
        <v>0.93366283191459154</v>
      </c>
      <c r="L70" s="180">
        <f t="shared" si="56"/>
        <v>6.6337168085408543E-2</v>
      </c>
      <c r="M70" s="180">
        <f t="shared" si="56"/>
        <v>-2.7679878566487712E-2</v>
      </c>
      <c r="AE70" s="286"/>
      <c r="AF70" s="15">
        <f>AF69-AG69</f>
        <v>2.4984662350310827E-3</v>
      </c>
      <c r="AG70" s="15">
        <f>AG69-AH69</f>
        <v>7.5528742091214962E-2</v>
      </c>
      <c r="AH70" s="15">
        <f t="shared" ref="AH70:AJ70" si="71">AH69-AI69</f>
        <v>3.2626846368906393E-4</v>
      </c>
      <c r="AI70" s="15">
        <f t="shared" si="71"/>
        <v>3.4843857965437264E-4</v>
      </c>
      <c r="AJ70" s="15">
        <f t="shared" si="71"/>
        <v>3.7518084630410516E-2</v>
      </c>
      <c r="AM70" s="286"/>
      <c r="AN70" s="15">
        <f>AN69-AO69</f>
        <v>8.66685227E-2</v>
      </c>
      <c r="AO70" s="15">
        <f t="shared" ref="AO70:AQ70" si="72">AO69-AP69</f>
        <v>3.7439000000000222E-4</v>
      </c>
      <c r="AP70" s="15">
        <f t="shared" si="72"/>
        <v>3.9982999999999685E-4</v>
      </c>
      <c r="AQ70" s="15">
        <f t="shared" si="72"/>
        <v>4.3051649999999997E-2</v>
      </c>
    </row>
    <row r="71" spans="2:43" ht="30" x14ac:dyDescent="0.25">
      <c r="B71" s="123" t="s">
        <v>567</v>
      </c>
      <c r="C71" s="11" t="s">
        <v>568</v>
      </c>
      <c r="D71" s="15">
        <f t="shared" si="59"/>
        <v>7.9567281799999998</v>
      </c>
      <c r="E71" s="178">
        <f t="shared" si="60"/>
        <v>7.8485492499999996</v>
      </c>
      <c r="F71" s="178">
        <v>0.19072311</v>
      </c>
      <c r="G71" s="178">
        <v>-8.2544179999999995E-2</v>
      </c>
      <c r="H71" s="179">
        <f t="shared" si="61"/>
        <v>8.03927236</v>
      </c>
      <c r="I71" s="123" t="s">
        <v>567</v>
      </c>
      <c r="J71" s="11" t="s">
        <v>29</v>
      </c>
      <c r="K71" s="180">
        <f t="shared" si="62"/>
        <v>0.9762760730748522</v>
      </c>
      <c r="L71" s="180">
        <f t="shared" si="56"/>
        <v>2.3723926925147739E-2</v>
      </c>
      <c r="M71" s="180">
        <f t="shared" si="56"/>
        <v>-1.0267618299723832E-2</v>
      </c>
      <c r="AE71" s="123" t="s">
        <v>597</v>
      </c>
      <c r="AF71" s="174">
        <f>AF70/$AF69</f>
        <v>2.149773046834523E-2</v>
      </c>
      <c r="AG71" s="174">
        <f t="shared" ref="AG71:AJ71" si="73">AG70/$AF69</f>
        <v>0.64987731966283735</v>
      </c>
      <c r="AH71" s="174">
        <f t="shared" si="73"/>
        <v>2.8073349138621915E-3</v>
      </c>
      <c r="AI71" s="174">
        <f t="shared" si="73"/>
        <v>2.9980948171947396E-3</v>
      </c>
      <c r="AJ71" s="174">
        <f t="shared" si="73"/>
        <v>0.32281952013776039</v>
      </c>
      <c r="AM71" s="173" t="s">
        <v>597</v>
      </c>
      <c r="AN71" s="174">
        <f>AN70/$AN69</f>
        <v>0.66415514802422626</v>
      </c>
      <c r="AO71" s="174">
        <f t="shared" ref="AO71:AQ71" si="74">AO70/$AN69</f>
        <v>2.8690121640759379E-3</v>
      </c>
      <c r="AP71" s="174">
        <f t="shared" si="74"/>
        <v>3.0639630694261769E-3</v>
      </c>
      <c r="AQ71" s="174">
        <f t="shared" si="74"/>
        <v>0.32991187674227168</v>
      </c>
    </row>
    <row r="72" spans="2:43" ht="18" x14ac:dyDescent="0.25">
      <c r="B72" s="123" t="s">
        <v>569</v>
      </c>
      <c r="C72" s="11" t="s">
        <v>566</v>
      </c>
      <c r="D72" s="15">
        <f t="shared" si="59"/>
        <v>1.24458895</v>
      </c>
      <c r="E72" s="178">
        <f t="shared" si="60"/>
        <v>1.1892044100000001</v>
      </c>
      <c r="F72" s="178">
        <v>9.3696779999999993E-2</v>
      </c>
      <c r="G72" s="178">
        <v>-3.8312239999999997E-2</v>
      </c>
      <c r="H72" s="179">
        <f t="shared" si="61"/>
        <v>1.28290119</v>
      </c>
      <c r="I72" s="123" t="s">
        <v>569</v>
      </c>
      <c r="J72" s="11" t="s">
        <v>29</v>
      </c>
      <c r="K72" s="180">
        <f t="shared" si="62"/>
        <v>0.92696492860841451</v>
      </c>
      <c r="L72" s="180">
        <f t="shared" si="56"/>
        <v>7.3035071391585493E-2</v>
      </c>
      <c r="M72" s="180">
        <f t="shared" si="56"/>
        <v>-2.986374967818059E-2</v>
      </c>
      <c r="AE72" s="286" t="str">
        <f>$B$36</f>
        <v>Global warming</v>
      </c>
      <c r="AF72" s="15">
        <f>D17</f>
        <v>353.10000002370003</v>
      </c>
      <c r="AG72" s="15">
        <f>AN72*Calculations!$C$47</f>
        <v>334.85679309858818</v>
      </c>
      <c r="AH72" s="15">
        <f>AO72*Calculations!$C$47</f>
        <v>283.95160923970673</v>
      </c>
      <c r="AI72" s="15">
        <f>AP72*Calculations!$C$47</f>
        <v>281.42644581567697</v>
      </c>
      <c r="AJ72" s="15">
        <f>AQ72*Calculations!$C$47</f>
        <v>275.65845365571596</v>
      </c>
      <c r="AM72" s="286" t="str">
        <f>$B$36</f>
        <v>Global warming</v>
      </c>
      <c r="AN72" s="15">
        <f>D36</f>
        <v>384.24502739454198</v>
      </c>
      <c r="AO72" s="15">
        <f>D55</f>
        <v>325.83180666999999</v>
      </c>
      <c r="AP72" s="15">
        <f>D74</f>
        <v>322.93420534000001</v>
      </c>
      <c r="AQ72" s="15">
        <f>D93</f>
        <v>316.31548846999999</v>
      </c>
    </row>
    <row r="73" spans="2:43" ht="18" x14ac:dyDescent="0.25">
      <c r="B73" s="123" t="s">
        <v>570</v>
      </c>
      <c r="C73" s="11" t="s">
        <v>571</v>
      </c>
      <c r="D73" s="15">
        <f t="shared" si="59"/>
        <v>4.3451479999999994E-2</v>
      </c>
      <c r="E73" s="178">
        <f t="shared" si="60"/>
        <v>4.3051649999999997E-2</v>
      </c>
      <c r="F73" s="178">
        <v>1.7674699999999999E-3</v>
      </c>
      <c r="G73" s="178">
        <v>-1.36764E-3</v>
      </c>
      <c r="H73" s="179">
        <f t="shared" si="61"/>
        <v>4.4819119999999997E-2</v>
      </c>
      <c r="I73" s="123" t="s">
        <v>570</v>
      </c>
      <c r="J73" s="11" t="s">
        <v>29</v>
      </c>
      <c r="K73" s="180">
        <f t="shared" si="62"/>
        <v>0.96056437520415394</v>
      </c>
      <c r="L73" s="180">
        <f t="shared" si="56"/>
        <v>3.9435624795846058E-2</v>
      </c>
      <c r="M73" s="180">
        <f t="shared" si="56"/>
        <v>-3.0514655352447798E-2</v>
      </c>
      <c r="AE73" s="286"/>
      <c r="AF73" s="15">
        <f>AF72-AG72</f>
        <v>18.243206925111849</v>
      </c>
      <c r="AG73" s="15">
        <f>AG72-AH72</f>
        <v>50.905183858881458</v>
      </c>
      <c r="AH73" s="15">
        <f t="shared" ref="AH73:AJ73" si="75">AH72-AI72</f>
        <v>2.5251634240297562</v>
      </c>
      <c r="AI73" s="15">
        <f t="shared" si="75"/>
        <v>5.7679921599610111</v>
      </c>
      <c r="AJ73" s="15">
        <f t="shared" si="75"/>
        <v>275.65845365571596</v>
      </c>
      <c r="AM73" s="286"/>
      <c r="AN73" s="15">
        <f>AN72-AO72</f>
        <v>58.413220724541986</v>
      </c>
      <c r="AO73" s="15">
        <f t="shared" ref="AO73:AQ73" si="76">AO72-AP72</f>
        <v>2.8976013299999863</v>
      </c>
      <c r="AP73" s="15">
        <f t="shared" si="76"/>
        <v>6.6187168700000143</v>
      </c>
      <c r="AQ73" s="15">
        <f t="shared" si="76"/>
        <v>316.31548846999999</v>
      </c>
    </row>
    <row r="74" spans="2:43" ht="30" x14ac:dyDescent="0.25">
      <c r="B74" s="171" t="s">
        <v>572</v>
      </c>
      <c r="C74" s="161" t="s">
        <v>573</v>
      </c>
      <c r="D74" s="185">
        <f t="shared" si="59"/>
        <v>322.93420534000001</v>
      </c>
      <c r="E74" s="186">
        <f t="shared" si="60"/>
        <v>316.31548846999999</v>
      </c>
      <c r="F74" s="186">
        <v>13.679540100000001</v>
      </c>
      <c r="G74" s="186">
        <v>-7.0608232299999996</v>
      </c>
      <c r="H74" s="179">
        <f t="shared" si="61"/>
        <v>329.99502856999999</v>
      </c>
      <c r="I74" s="123" t="s">
        <v>572</v>
      </c>
      <c r="J74" s="11" t="s">
        <v>29</v>
      </c>
      <c r="K74" s="180">
        <f t="shared" si="62"/>
        <v>0.95854622368319031</v>
      </c>
      <c r="L74" s="180">
        <f t="shared" si="56"/>
        <v>4.1453776316809687E-2</v>
      </c>
      <c r="M74" s="180">
        <f t="shared" si="56"/>
        <v>-2.1396756371140989E-2</v>
      </c>
      <c r="AE74" s="123" t="s">
        <v>597</v>
      </c>
      <c r="AF74" s="174">
        <f>AF73/$AF72</f>
        <v>5.1665836657851509E-2</v>
      </c>
      <c r="AG74" s="174">
        <f t="shared" ref="AG74:AJ74" si="77">AG73/$AF72</f>
        <v>0.14416647934144636</v>
      </c>
      <c r="AH74" s="174">
        <f t="shared" si="77"/>
        <v>7.151411565732845E-3</v>
      </c>
      <c r="AI74" s="174">
        <f t="shared" si="77"/>
        <v>1.6335293570019439E-2</v>
      </c>
      <c r="AJ74" s="174">
        <f t="shared" si="77"/>
        <v>0.7806809788649498</v>
      </c>
      <c r="AM74" s="173" t="s">
        <v>597</v>
      </c>
      <c r="AN74" s="174">
        <f>AN73/$AN72</f>
        <v>0.15202075904696982</v>
      </c>
      <c r="AO74" s="174">
        <f t="shared" ref="AO74:AQ74" si="78">AO73/$AN72</f>
        <v>7.5410249278899198E-3</v>
      </c>
      <c r="AP74" s="174">
        <f t="shared" si="78"/>
        <v>1.7225250551398626E-2</v>
      </c>
      <c r="AQ74" s="174">
        <f t="shared" si="78"/>
        <v>0.82321296547374168</v>
      </c>
    </row>
    <row r="75" spans="2:43" x14ac:dyDescent="0.25">
      <c r="B75" s="123" t="s">
        <v>574</v>
      </c>
      <c r="C75" s="11" t="s">
        <v>575</v>
      </c>
      <c r="D75" s="15">
        <f t="shared" si="59"/>
        <v>5905.1687651000002</v>
      </c>
      <c r="E75" s="178">
        <f t="shared" si="60"/>
        <v>5719.2310362999997</v>
      </c>
      <c r="F75" s="178">
        <v>278.581006</v>
      </c>
      <c r="G75" s="178">
        <v>-92.6432772</v>
      </c>
      <c r="H75" s="179">
        <f t="shared" si="61"/>
        <v>5997.8120423</v>
      </c>
      <c r="I75" s="123" t="s">
        <v>574</v>
      </c>
      <c r="J75" s="11" t="s">
        <v>29</v>
      </c>
      <c r="K75" s="180">
        <f t="shared" si="62"/>
        <v>0.95355289494981044</v>
      </c>
      <c r="L75" s="180">
        <f t="shared" si="56"/>
        <v>4.6447105050189542E-2</v>
      </c>
      <c r="M75" s="180">
        <f t="shared" si="56"/>
        <v>-1.5446178797639312E-2</v>
      </c>
      <c r="AE75" s="286" t="str">
        <f>$B$37</f>
        <v>Non-renewable energy</v>
      </c>
      <c r="AF75" s="15">
        <f>D18</f>
        <v>6118.03</v>
      </c>
      <c r="AG75" s="15">
        <f>AN75*Calculations!$C$47</f>
        <v>5823.6734638374446</v>
      </c>
      <c r="AH75" s="15">
        <f>AO75*Calculations!$C$47</f>
        <v>5197.5830913920072</v>
      </c>
      <c r="AI75" s="15">
        <f>AP75*Calculations!$C$47</f>
        <v>5146.1586602575881</v>
      </c>
      <c r="AJ75" s="15">
        <f>AQ75*Calculations!$C$47</f>
        <v>4984.120098550784</v>
      </c>
      <c r="AM75" s="286" t="str">
        <f>$B$37</f>
        <v>Non-renewable energy</v>
      </c>
      <c r="AN75" s="15">
        <f>D37</f>
        <v>6682.6106436200007</v>
      </c>
      <c r="AO75" s="15">
        <f>D56</f>
        <v>5964.1778172000004</v>
      </c>
      <c r="AP75" s="15">
        <f>D75</f>
        <v>5905.1687651000002</v>
      </c>
      <c r="AQ75" s="15">
        <f>D94</f>
        <v>5719.2310362999997</v>
      </c>
    </row>
    <row r="76" spans="2:43" x14ac:dyDescent="0.25">
      <c r="B76" s="123" t="s">
        <v>576</v>
      </c>
      <c r="C76" s="11" t="s">
        <v>577</v>
      </c>
      <c r="D76" s="15">
        <f t="shared" si="59"/>
        <v>6.8850420899999989</v>
      </c>
      <c r="E76" s="178">
        <f t="shared" si="60"/>
        <v>6.7966662199999996</v>
      </c>
      <c r="F76" s="178">
        <v>0.15541529000000001</v>
      </c>
      <c r="G76" s="178">
        <v>-6.7039420000000002E-2</v>
      </c>
      <c r="H76" s="179">
        <f t="shared" si="61"/>
        <v>6.9520815099999993</v>
      </c>
      <c r="I76" s="123" t="s">
        <v>576</v>
      </c>
      <c r="J76" s="11" t="s">
        <v>29</v>
      </c>
      <c r="K76" s="180">
        <f t="shared" si="62"/>
        <v>0.97764478310899439</v>
      </c>
      <c r="L76" s="180">
        <f t="shared" si="56"/>
        <v>2.2355216891005645E-2</v>
      </c>
      <c r="M76" s="180">
        <f t="shared" si="56"/>
        <v>-9.6430716330884927E-3</v>
      </c>
      <c r="AE76" s="286"/>
      <c r="AF76" s="15">
        <f>AF75-AG75</f>
        <v>294.35653616255513</v>
      </c>
      <c r="AG76" s="15">
        <f>AG75-AH75</f>
        <v>626.09037244543742</v>
      </c>
      <c r="AH76" s="15">
        <f t="shared" ref="AH76:AJ76" si="79">AH75-AI75</f>
        <v>51.424431134419137</v>
      </c>
      <c r="AI76" s="15">
        <f t="shared" si="79"/>
        <v>162.0385617068041</v>
      </c>
      <c r="AJ76" s="15">
        <f t="shared" si="79"/>
        <v>4984.120098550784</v>
      </c>
      <c r="AM76" s="286"/>
      <c r="AN76" s="15">
        <f>AN75-AO75</f>
        <v>718.43282642000031</v>
      </c>
      <c r="AO76" s="15">
        <f t="shared" ref="AO76:AQ76" si="80">AO75-AP75</f>
        <v>59.00905210000019</v>
      </c>
      <c r="AP76" s="15">
        <f t="shared" si="80"/>
        <v>185.93772880000051</v>
      </c>
      <c r="AQ76" s="15">
        <f t="shared" si="80"/>
        <v>5719.2310362999997</v>
      </c>
    </row>
    <row r="77" spans="2:43" ht="30" x14ac:dyDescent="0.25">
      <c r="AE77" s="123" t="s">
        <v>597</v>
      </c>
      <c r="AF77" s="174">
        <f>AF76/$AF75</f>
        <v>4.8112960571058842E-2</v>
      </c>
      <c r="AG77" s="174">
        <f t="shared" ref="AG77:AJ77" si="81">AG76/$AF75</f>
        <v>0.10233528970035084</v>
      </c>
      <c r="AH77" s="174">
        <f t="shared" si="81"/>
        <v>8.4053904826258026E-3</v>
      </c>
      <c r="AI77" s="174">
        <f t="shared" si="81"/>
        <v>2.6485414701595794E-2</v>
      </c>
      <c r="AJ77" s="174">
        <f t="shared" si="81"/>
        <v>0.81466094454436877</v>
      </c>
      <c r="AM77" s="173" t="s">
        <v>597</v>
      </c>
      <c r="AN77" s="174">
        <f>AN76/$AN75</f>
        <v>0.10750780865946455</v>
      </c>
      <c r="AO77" s="174">
        <f t="shared" ref="AO77:AQ77" si="82">AO76/$AN75</f>
        <v>8.8302394448698147E-3</v>
      </c>
      <c r="AP77" s="174">
        <f t="shared" si="82"/>
        <v>2.7824115262127136E-2</v>
      </c>
      <c r="AQ77" s="174">
        <f t="shared" si="82"/>
        <v>0.85583783663353852</v>
      </c>
    </row>
    <row r="78" spans="2:43" x14ac:dyDescent="0.25">
      <c r="B78" s="282" t="s">
        <v>630</v>
      </c>
      <c r="C78" s="282"/>
      <c r="D78" s="282"/>
      <c r="E78" s="282"/>
      <c r="F78" s="282"/>
      <c r="G78" s="282"/>
      <c r="H78" s="282"/>
      <c r="I78" s="282"/>
      <c r="J78" s="282"/>
      <c r="K78" s="282"/>
      <c r="L78" s="282"/>
      <c r="M78" s="282"/>
      <c r="N78" s="282"/>
      <c r="O78" s="282"/>
      <c r="P78" s="282"/>
      <c r="Q78" s="282"/>
      <c r="AE78" s="286" t="str">
        <f>$B$38</f>
        <v>Mineral extraction</v>
      </c>
      <c r="AF78" s="15">
        <f>D19</f>
        <v>11.387</v>
      </c>
      <c r="AG78" s="15">
        <f>AN78*Calculations!$C$47</f>
        <v>10.909255917351967</v>
      </c>
      <c r="AH78" s="15">
        <f>AO78*Calculations!$C$47</f>
        <v>6.0287745107107016</v>
      </c>
      <c r="AI78" s="15">
        <f>AP78*Calculations!$C$47</f>
        <v>6.0000857531954868</v>
      </c>
      <c r="AJ78" s="15">
        <f>AQ78*Calculations!$C$47</f>
        <v>5.9230691145777774</v>
      </c>
      <c r="AM78" s="286" t="str">
        <f>$B$38</f>
        <v>Mineral extraction</v>
      </c>
      <c r="AN78" s="15">
        <f>D38</f>
        <v>12.518268779999998</v>
      </c>
      <c r="AO78" s="15">
        <f>D57</f>
        <v>6.9179621699999991</v>
      </c>
      <c r="AP78" s="15">
        <f>D76</f>
        <v>6.8850420899999989</v>
      </c>
      <c r="AQ78" s="15">
        <f>D95</f>
        <v>6.7966662199999996</v>
      </c>
    </row>
    <row r="79" spans="2:43" x14ac:dyDescent="0.25">
      <c r="AE79" s="286"/>
      <c r="AF79" s="15">
        <f>AF78-AG78</f>
        <v>0.4777440826480337</v>
      </c>
      <c r="AG79" s="15">
        <f>AG78-AH78</f>
        <v>4.8804814066412652</v>
      </c>
      <c r="AH79" s="15">
        <f t="shared" ref="AH79:AJ79" si="83">AH78-AI78</f>
        <v>2.8688757515214824E-2</v>
      </c>
      <c r="AI79" s="15">
        <f t="shared" si="83"/>
        <v>7.7016638617709354E-2</v>
      </c>
      <c r="AJ79" s="15">
        <f t="shared" si="83"/>
        <v>5.9230691145777774</v>
      </c>
      <c r="AM79" s="286"/>
      <c r="AN79" s="15">
        <f>AN78-AO78</f>
        <v>5.6003066099999987</v>
      </c>
      <c r="AO79" s="15">
        <f t="shared" ref="AO79:AQ79" si="84">AO78-AP78</f>
        <v>3.292008000000024E-2</v>
      </c>
      <c r="AP79" s="15">
        <f t="shared" si="84"/>
        <v>8.8375869999999246E-2</v>
      </c>
      <c r="AQ79" s="15">
        <f t="shared" si="84"/>
        <v>6.7966662199999996</v>
      </c>
    </row>
    <row r="80" spans="2:43" ht="32.450000000000003" customHeight="1" x14ac:dyDescent="0.25">
      <c r="B80" s="162" t="s">
        <v>547</v>
      </c>
      <c r="C80" s="162" t="s">
        <v>337</v>
      </c>
      <c r="D80" s="162" t="s">
        <v>213</v>
      </c>
      <c r="E80" s="162" t="s">
        <v>596</v>
      </c>
      <c r="F80" s="162" t="s">
        <v>585</v>
      </c>
      <c r="G80" s="162" t="s">
        <v>586</v>
      </c>
      <c r="H80" s="162" t="s">
        <v>209</v>
      </c>
      <c r="I80" s="162" t="s">
        <v>587</v>
      </c>
      <c r="J80" s="162" t="s">
        <v>581</v>
      </c>
      <c r="L80" s="122" t="s">
        <v>547</v>
      </c>
      <c r="M80" s="122" t="s">
        <v>337</v>
      </c>
      <c r="N80" s="162" t="s">
        <v>596</v>
      </c>
      <c r="O80" s="162" t="s">
        <v>585</v>
      </c>
      <c r="P80" s="162" t="s">
        <v>586</v>
      </c>
      <c r="Q80" s="162" t="s">
        <v>209</v>
      </c>
      <c r="R80" s="162" t="s">
        <v>587</v>
      </c>
      <c r="S80" s="162" t="s">
        <v>581</v>
      </c>
      <c r="AE80" s="123" t="s">
        <v>597</v>
      </c>
      <c r="AF80" s="174">
        <f>AF79/$AF78</f>
        <v>4.1955219342059688E-2</v>
      </c>
      <c r="AG80" s="174">
        <f t="shared" ref="AG80:AJ80" si="85">AG79/$AF78</f>
        <v>0.42860115979988278</v>
      </c>
      <c r="AH80" s="174">
        <f t="shared" si="85"/>
        <v>2.5194307117954529E-3</v>
      </c>
      <c r="AI80" s="174">
        <f t="shared" si="85"/>
        <v>6.7635583224474709E-3</v>
      </c>
      <c r="AJ80" s="174">
        <f t="shared" si="85"/>
        <v>0.52016063182381467</v>
      </c>
      <c r="AM80" s="173" t="s">
        <v>597</v>
      </c>
      <c r="AN80" s="174">
        <f>AN79/$AN78</f>
        <v>0.44737069545490299</v>
      </c>
      <c r="AO80" s="174">
        <f t="shared" ref="AO80:AQ80" si="86">AO79/$AN78</f>
        <v>2.6297629950712918E-3</v>
      </c>
      <c r="AP80" s="174">
        <f t="shared" si="86"/>
        <v>7.0597517558653395E-3</v>
      </c>
      <c r="AQ80" s="174">
        <f t="shared" si="86"/>
        <v>0.54293978979416035</v>
      </c>
    </row>
    <row r="81" spans="2:19" ht="18" x14ac:dyDescent="0.25">
      <c r="B81" s="123" t="s">
        <v>550</v>
      </c>
      <c r="C81" s="11" t="s">
        <v>551</v>
      </c>
      <c r="D81" s="15">
        <f t="shared" ref="D81:D95" si="87">SUM(F81:J81)</f>
        <v>5.5222066699999992</v>
      </c>
      <c r="E81" s="178">
        <v>0</v>
      </c>
      <c r="F81" s="178">
        <v>1.38</v>
      </c>
      <c r="G81" s="178">
        <v>2.4500000000000002</v>
      </c>
      <c r="H81" s="178">
        <v>0.93522095000000005</v>
      </c>
      <c r="I81" s="178">
        <v>8.8713840000000002E-2</v>
      </c>
      <c r="J81" s="178">
        <v>0.66827188000000004</v>
      </c>
      <c r="L81" s="123" t="s">
        <v>550</v>
      </c>
      <c r="M81" s="11" t="s">
        <v>29</v>
      </c>
      <c r="N81" s="180">
        <f t="shared" ref="N81:S95" si="88">E81/$D81</f>
        <v>0</v>
      </c>
      <c r="O81" s="180">
        <f t="shared" si="88"/>
        <v>0.24990010017136866</v>
      </c>
      <c r="P81" s="180">
        <f t="shared" si="88"/>
        <v>0.44366322131873426</v>
      </c>
      <c r="Q81" s="180">
        <f t="shared" si="88"/>
        <v>0.16935638339663955</v>
      </c>
      <c r="R81" s="180">
        <f t="shared" si="88"/>
        <v>1.6064925726512153E-2</v>
      </c>
      <c r="S81" s="180">
        <f t="shared" si="88"/>
        <v>0.12101536938674556</v>
      </c>
    </row>
    <row r="82" spans="2:19" ht="18" x14ac:dyDescent="0.25">
      <c r="B82" s="123" t="s">
        <v>552</v>
      </c>
      <c r="C82" s="11" t="s">
        <v>551</v>
      </c>
      <c r="D82" s="15">
        <f t="shared" si="87"/>
        <v>4.6580427200000001</v>
      </c>
      <c r="E82" s="178">
        <v>0</v>
      </c>
      <c r="F82" s="178">
        <v>3.11</v>
      </c>
      <c r="G82" s="178">
        <v>0.54100000000000004</v>
      </c>
      <c r="H82" s="178">
        <v>0.45605932999999999</v>
      </c>
      <c r="I82" s="178">
        <v>0.29878788000000001</v>
      </c>
      <c r="J82" s="178">
        <v>0.25219551000000001</v>
      </c>
      <c r="L82" s="123" t="s">
        <v>552</v>
      </c>
      <c r="M82" s="11" t="s">
        <v>29</v>
      </c>
      <c r="N82" s="180">
        <f t="shared" si="88"/>
        <v>0</v>
      </c>
      <c r="O82" s="180">
        <f t="shared" si="88"/>
        <v>0.66766240392058918</v>
      </c>
      <c r="P82" s="180">
        <f t="shared" si="88"/>
        <v>0.11614320273988385</v>
      </c>
      <c r="Q82" s="180">
        <f t="shared" si="88"/>
        <v>9.7907932025148955E-2</v>
      </c>
      <c r="R82" s="180">
        <f t="shared" si="88"/>
        <v>6.4144512611941013E-2</v>
      </c>
      <c r="S82" s="180">
        <f t="shared" si="88"/>
        <v>5.4141948702436979E-2</v>
      </c>
    </row>
    <row r="83" spans="2:19" x14ac:dyDescent="0.25">
      <c r="B83" s="123" t="s">
        <v>553</v>
      </c>
      <c r="C83" s="11" t="s">
        <v>554</v>
      </c>
      <c r="D83" s="15">
        <f t="shared" si="87"/>
        <v>0.25959337999999998</v>
      </c>
      <c r="E83" s="178">
        <v>0</v>
      </c>
      <c r="F83" s="178">
        <v>0.109</v>
      </c>
      <c r="G83" s="178">
        <v>7.1599999999999997E-2</v>
      </c>
      <c r="H83" s="178">
        <v>1.8852520000000001E-2</v>
      </c>
      <c r="I83" s="178">
        <v>3.7448400000000001E-3</v>
      </c>
      <c r="J83" s="178">
        <v>5.6396019999999998E-2</v>
      </c>
      <c r="L83" s="123" t="s">
        <v>553</v>
      </c>
      <c r="M83" s="11" t="s">
        <v>29</v>
      </c>
      <c r="N83" s="180">
        <f t="shared" si="88"/>
        <v>0</v>
      </c>
      <c r="O83" s="180">
        <f t="shared" si="88"/>
        <v>0.4198874408892862</v>
      </c>
      <c r="P83" s="180">
        <f t="shared" si="88"/>
        <v>0.27581597034562283</v>
      </c>
      <c r="Q83" s="180">
        <f t="shared" si="88"/>
        <v>7.2623269514808131E-2</v>
      </c>
      <c r="R83" s="180">
        <f t="shared" si="88"/>
        <v>1.4425791597613161E-2</v>
      </c>
      <c r="S83" s="180">
        <f t="shared" si="88"/>
        <v>0.21724752765266972</v>
      </c>
    </row>
    <row r="84" spans="2:19" x14ac:dyDescent="0.25">
      <c r="B84" s="123" t="s">
        <v>555</v>
      </c>
      <c r="C84" s="11" t="s">
        <v>556</v>
      </c>
      <c r="D84" s="15">
        <f t="shared" si="87"/>
        <v>7726.3298332999993</v>
      </c>
      <c r="E84" s="178">
        <v>0</v>
      </c>
      <c r="F84" s="178">
        <v>4160</v>
      </c>
      <c r="G84" s="178">
        <v>1010</v>
      </c>
      <c r="H84" s="178">
        <v>520.23194799999999</v>
      </c>
      <c r="I84" s="178">
        <v>22.0983053</v>
      </c>
      <c r="J84" s="178">
        <v>2013.9995799999999</v>
      </c>
      <c r="L84" s="123" t="s">
        <v>555</v>
      </c>
      <c r="M84" s="11" t="s">
        <v>29</v>
      </c>
      <c r="N84" s="180">
        <f t="shared" si="88"/>
        <v>0</v>
      </c>
      <c r="O84" s="180">
        <f t="shared" si="88"/>
        <v>0.53841863986580796</v>
      </c>
      <c r="P84" s="180">
        <f t="shared" si="88"/>
        <v>0.13072183323665049</v>
      </c>
      <c r="Q84" s="180">
        <f t="shared" si="88"/>
        <v>6.7332350446370121E-2</v>
      </c>
      <c r="R84" s="180">
        <f t="shared" si="88"/>
        <v>2.8601296834051379E-3</v>
      </c>
      <c r="S84" s="180">
        <f t="shared" si="88"/>
        <v>0.26066704676776642</v>
      </c>
    </row>
    <row r="85" spans="2:19" x14ac:dyDescent="0.25">
      <c r="B85" s="123" t="s">
        <v>557</v>
      </c>
      <c r="C85" s="11" t="s">
        <v>558</v>
      </c>
      <c r="D85" s="15">
        <f t="shared" si="87"/>
        <v>4.8378029999999999E-5</v>
      </c>
      <c r="E85" s="178">
        <v>0</v>
      </c>
      <c r="F85" s="178">
        <v>3.1999999999999999E-5</v>
      </c>
      <c r="G85" s="178">
        <v>8.6200000000000005E-6</v>
      </c>
      <c r="H85" s="178">
        <v>1.632E-6</v>
      </c>
      <c r="I85" s="178">
        <v>1.5253E-7</v>
      </c>
      <c r="J85" s="178">
        <v>5.9734999999999996E-6</v>
      </c>
      <c r="L85" s="123" t="s">
        <v>557</v>
      </c>
      <c r="M85" s="11" t="s">
        <v>29</v>
      </c>
      <c r="N85" s="180">
        <f t="shared" si="88"/>
        <v>0</v>
      </c>
      <c r="O85" s="180">
        <f t="shared" si="88"/>
        <v>0.66145727719793468</v>
      </c>
      <c r="P85" s="180">
        <f t="shared" si="88"/>
        <v>0.17818005404519366</v>
      </c>
      <c r="Q85" s="180">
        <f t="shared" si="88"/>
        <v>3.3734321137094667E-2</v>
      </c>
      <c r="R85" s="180">
        <f t="shared" si="88"/>
        <v>3.1528774528437808E-3</v>
      </c>
      <c r="S85" s="180">
        <f t="shared" si="88"/>
        <v>0.12347547016693321</v>
      </c>
    </row>
    <row r="86" spans="2:19" ht="18" x14ac:dyDescent="0.25">
      <c r="B86" s="123" t="s">
        <v>559</v>
      </c>
      <c r="C86" s="11" t="s">
        <v>560</v>
      </c>
      <c r="D86" s="15">
        <f t="shared" si="87"/>
        <v>0.11723934000000001</v>
      </c>
      <c r="E86" s="178">
        <v>0</v>
      </c>
      <c r="F86" s="178">
        <v>7.9699999999999993E-2</v>
      </c>
      <c r="G86" s="178">
        <v>2.58E-2</v>
      </c>
      <c r="H86" s="178">
        <v>5.9850499999999996E-3</v>
      </c>
      <c r="I86" s="178">
        <v>6.0548000000000004E-4</v>
      </c>
      <c r="J86" s="178">
        <v>5.1488100000000002E-3</v>
      </c>
      <c r="L86" s="123" t="s">
        <v>559</v>
      </c>
      <c r="M86" s="11" t="s">
        <v>29</v>
      </c>
      <c r="N86" s="180">
        <f t="shared" si="88"/>
        <v>0</v>
      </c>
      <c r="O86" s="180">
        <f t="shared" si="88"/>
        <v>0.67980594227159574</v>
      </c>
      <c r="P86" s="180">
        <f t="shared" si="88"/>
        <v>0.22006265132505862</v>
      </c>
      <c r="Q86" s="180">
        <f t="shared" si="88"/>
        <v>5.1049843849342712E-2</v>
      </c>
      <c r="R86" s="180">
        <f t="shared" si="88"/>
        <v>5.164478066833198E-3</v>
      </c>
      <c r="S86" s="180">
        <f t="shared" si="88"/>
        <v>4.3917084487169578E-2</v>
      </c>
    </row>
    <row r="87" spans="2:19" x14ac:dyDescent="0.25">
      <c r="B87" s="123" t="s">
        <v>561</v>
      </c>
      <c r="C87" s="11" t="s">
        <v>562</v>
      </c>
      <c r="D87" s="15">
        <f t="shared" si="87"/>
        <v>32525.480142</v>
      </c>
      <c r="E87" s="178">
        <v>0</v>
      </c>
      <c r="F87" s="178">
        <v>15300</v>
      </c>
      <c r="G87" s="178">
        <v>13700</v>
      </c>
      <c r="H87" s="178">
        <v>1056.99965</v>
      </c>
      <c r="I87" s="178">
        <v>128.78274200000001</v>
      </c>
      <c r="J87" s="178">
        <v>2339.6977499999998</v>
      </c>
      <c r="L87" s="123" t="s">
        <v>561</v>
      </c>
      <c r="M87" s="11" t="s">
        <v>29</v>
      </c>
      <c r="N87" s="180">
        <f t="shared" si="88"/>
        <v>0</v>
      </c>
      <c r="O87" s="180">
        <f t="shared" si="88"/>
        <v>0.47040043477308063</v>
      </c>
      <c r="P87" s="180">
        <f t="shared" si="88"/>
        <v>0.42120823244386957</v>
      </c>
      <c r="Q87" s="180">
        <f t="shared" si="88"/>
        <v>3.2497587902940786E-2</v>
      </c>
      <c r="R87" s="180">
        <f t="shared" si="88"/>
        <v>3.9594416881091159E-3</v>
      </c>
      <c r="S87" s="180">
        <f t="shared" si="88"/>
        <v>7.1934303191999893E-2</v>
      </c>
    </row>
    <row r="88" spans="2:19" x14ac:dyDescent="0.25">
      <c r="B88" s="123" t="s">
        <v>563</v>
      </c>
      <c r="C88" s="11" t="s">
        <v>564</v>
      </c>
      <c r="D88" s="15">
        <f t="shared" si="87"/>
        <v>13387.2719805</v>
      </c>
      <c r="E88" s="178">
        <v>0</v>
      </c>
      <c r="F88" s="178">
        <v>11400</v>
      </c>
      <c r="G88" s="178">
        <v>1060</v>
      </c>
      <c r="H88" s="178">
        <v>322.54651799999999</v>
      </c>
      <c r="I88" s="178">
        <v>45.498157499999998</v>
      </c>
      <c r="J88" s="178">
        <v>559.227305</v>
      </c>
      <c r="L88" s="123" t="s">
        <v>563</v>
      </c>
      <c r="M88" s="11" t="s">
        <v>29</v>
      </c>
      <c r="N88" s="180">
        <f t="shared" si="88"/>
        <v>0</v>
      </c>
      <c r="O88" s="180">
        <f t="shared" si="88"/>
        <v>0.85155512016229484</v>
      </c>
      <c r="P88" s="180">
        <f t="shared" si="88"/>
        <v>7.9179686611581798E-2</v>
      </c>
      <c r="Q88" s="180">
        <f t="shared" si="88"/>
        <v>2.4093520955563139E-2</v>
      </c>
      <c r="R88" s="180">
        <f t="shared" si="88"/>
        <v>3.3986130681645187E-3</v>
      </c>
      <c r="S88" s="180">
        <f t="shared" si="88"/>
        <v>4.1773059202395726E-2</v>
      </c>
    </row>
    <row r="89" spans="2:19" ht="18" x14ac:dyDescent="0.25">
      <c r="B89" s="123" t="s">
        <v>565</v>
      </c>
      <c r="C89" s="11" t="s">
        <v>566</v>
      </c>
      <c r="D89" s="15">
        <f t="shared" si="87"/>
        <v>3.8463674000000001</v>
      </c>
      <c r="E89" s="178">
        <v>0</v>
      </c>
      <c r="F89" s="178">
        <v>1.53</v>
      </c>
      <c r="G89" s="178">
        <v>1.1299999999999999</v>
      </c>
      <c r="H89" s="178">
        <v>0.25278430000000002</v>
      </c>
      <c r="I89" s="178">
        <v>5.435359E-2</v>
      </c>
      <c r="J89" s="178">
        <v>0.87922951000000005</v>
      </c>
      <c r="L89" s="123" t="s">
        <v>565</v>
      </c>
      <c r="M89" s="11" t="s">
        <v>29</v>
      </c>
      <c r="N89" s="180">
        <f t="shared" si="88"/>
        <v>0</v>
      </c>
      <c r="O89" s="180">
        <f t="shared" si="88"/>
        <v>0.39777791377911531</v>
      </c>
      <c r="P89" s="180">
        <f t="shared" si="88"/>
        <v>0.29378368795450999</v>
      </c>
      <c r="Q89" s="180">
        <f t="shared" si="88"/>
        <v>6.5720268947786945E-2</v>
      </c>
      <c r="R89" s="180">
        <f t="shared" si="88"/>
        <v>1.4131148782095022E-2</v>
      </c>
      <c r="S89" s="180">
        <f t="shared" si="88"/>
        <v>0.22858698053649271</v>
      </c>
    </row>
    <row r="90" spans="2:19" x14ac:dyDescent="0.25">
      <c r="B90" s="123" t="s">
        <v>567</v>
      </c>
      <c r="C90" s="11" t="s">
        <v>568</v>
      </c>
      <c r="D90" s="15">
        <f t="shared" si="87"/>
        <v>7.8485492499999996</v>
      </c>
      <c r="E90" s="178">
        <v>0</v>
      </c>
      <c r="F90" s="178">
        <v>6.34</v>
      </c>
      <c r="G90" s="178">
        <v>0.55600000000000005</v>
      </c>
      <c r="H90" s="178">
        <v>0.31550223999999999</v>
      </c>
      <c r="I90" s="178">
        <v>2.3443350000000002E-2</v>
      </c>
      <c r="J90" s="178">
        <v>0.61360366</v>
      </c>
      <c r="L90" s="123" t="s">
        <v>567</v>
      </c>
      <c r="M90" s="11" t="s">
        <v>29</v>
      </c>
      <c r="N90" s="180">
        <f t="shared" si="88"/>
        <v>0</v>
      </c>
      <c r="O90" s="180">
        <f t="shared" si="88"/>
        <v>0.8077925993775219</v>
      </c>
      <c r="P90" s="180">
        <f t="shared" si="88"/>
        <v>7.084111754793411E-2</v>
      </c>
      <c r="Q90" s="180">
        <f t="shared" si="88"/>
        <v>4.0198797249058484E-2</v>
      </c>
      <c r="R90" s="180">
        <f t="shared" si="88"/>
        <v>2.9869660306966923E-3</v>
      </c>
      <c r="S90" s="180">
        <f t="shared" si="88"/>
        <v>7.8180519794788836E-2</v>
      </c>
    </row>
    <row r="91" spans="2:19" ht="18" x14ac:dyDescent="0.25">
      <c r="B91" s="123" t="s">
        <v>569</v>
      </c>
      <c r="C91" s="11" t="s">
        <v>566</v>
      </c>
      <c r="D91" s="15">
        <f t="shared" si="87"/>
        <v>1.1892044100000001</v>
      </c>
      <c r="E91" s="178">
        <v>0</v>
      </c>
      <c r="F91" s="178">
        <v>0.42599999999999999</v>
      </c>
      <c r="G91" s="178">
        <v>0.36399999999999999</v>
      </c>
      <c r="H91" s="178">
        <v>8.2251320000000003E-2</v>
      </c>
      <c r="I91" s="178">
        <v>1.550724E-2</v>
      </c>
      <c r="J91" s="178">
        <v>0.30144585000000002</v>
      </c>
      <c r="L91" s="123" t="s">
        <v>569</v>
      </c>
      <c r="M91" s="11" t="s">
        <v>29</v>
      </c>
      <c r="N91" s="180">
        <f t="shared" si="88"/>
        <v>0</v>
      </c>
      <c r="O91" s="180">
        <f t="shared" si="88"/>
        <v>0.3582226877211126</v>
      </c>
      <c r="P91" s="180">
        <f t="shared" si="88"/>
        <v>0.306086991386115</v>
      </c>
      <c r="Q91" s="180">
        <f t="shared" si="88"/>
        <v>6.9164997462463157E-2</v>
      </c>
      <c r="R91" s="180">
        <f t="shared" si="88"/>
        <v>1.3040012187644006E-2</v>
      </c>
      <c r="S91" s="180">
        <f t="shared" si="88"/>
        <v>0.25348531124266516</v>
      </c>
    </row>
    <row r="92" spans="2:19" ht="18" x14ac:dyDescent="0.25">
      <c r="B92" s="123" t="s">
        <v>570</v>
      </c>
      <c r="C92" s="11" t="s">
        <v>571</v>
      </c>
      <c r="D92" s="15">
        <f t="shared" si="87"/>
        <v>4.3051649999999997E-2</v>
      </c>
      <c r="E92" s="178">
        <v>0</v>
      </c>
      <c r="F92" s="178">
        <v>2.1299999999999999E-2</v>
      </c>
      <c r="G92" s="178">
        <v>1.14E-2</v>
      </c>
      <c r="H92" s="178">
        <v>4.3141200000000003E-3</v>
      </c>
      <c r="I92" s="178">
        <v>3.5114E-4</v>
      </c>
      <c r="J92" s="178">
        <v>5.6863900000000004E-3</v>
      </c>
      <c r="L92" s="123" t="s">
        <v>570</v>
      </c>
      <c r="M92" s="11" t="s">
        <v>29</v>
      </c>
      <c r="N92" s="180">
        <f t="shared" si="88"/>
        <v>0</v>
      </c>
      <c r="O92" s="180">
        <f t="shared" si="88"/>
        <v>0.49475455644557181</v>
      </c>
      <c r="P92" s="180">
        <f t="shared" si="88"/>
        <v>0.26479821330889758</v>
      </c>
      <c r="Q92" s="180">
        <f t="shared" si="88"/>
        <v>0.10020800596492818</v>
      </c>
      <c r="R92" s="180">
        <f t="shared" si="88"/>
        <v>8.1562495281830086E-3</v>
      </c>
      <c r="S92" s="180">
        <f t="shared" si="88"/>
        <v>0.13208297475241951</v>
      </c>
    </row>
    <row r="93" spans="2:19" ht="18" x14ac:dyDescent="0.25">
      <c r="B93" s="171" t="s">
        <v>572</v>
      </c>
      <c r="C93" s="161" t="s">
        <v>573</v>
      </c>
      <c r="D93" s="185">
        <f t="shared" si="87"/>
        <v>316.31548846999999</v>
      </c>
      <c r="E93" s="186">
        <v>0</v>
      </c>
      <c r="F93" s="186">
        <v>173</v>
      </c>
      <c r="G93" s="186">
        <v>81.400000000000006</v>
      </c>
      <c r="H93" s="186">
        <v>15.9121243</v>
      </c>
      <c r="I93" s="186">
        <v>1.99288157</v>
      </c>
      <c r="J93" s="186">
        <v>44.010482600000003</v>
      </c>
      <c r="L93" s="123" t="s">
        <v>572</v>
      </c>
      <c r="M93" s="11" t="s">
        <v>29</v>
      </c>
      <c r="N93" s="180">
        <f t="shared" si="88"/>
        <v>0</v>
      </c>
      <c r="O93" s="180">
        <f t="shared" si="88"/>
        <v>0.54692231745208286</v>
      </c>
      <c r="P93" s="180">
        <f t="shared" si="88"/>
        <v>0.25733801526358119</v>
      </c>
      <c r="Q93" s="180">
        <f t="shared" si="88"/>
        <v>5.0304600564980359E-2</v>
      </c>
      <c r="R93" s="180">
        <f t="shared" si="88"/>
        <v>6.3002971483927476E-3</v>
      </c>
      <c r="S93" s="180">
        <f t="shared" si="88"/>
        <v>0.13913476957096285</v>
      </c>
    </row>
    <row r="94" spans="2:19" x14ac:dyDescent="0.25">
      <c r="B94" s="123" t="s">
        <v>574</v>
      </c>
      <c r="C94" s="11" t="s">
        <v>575</v>
      </c>
      <c r="D94" s="15">
        <f t="shared" si="87"/>
        <v>5719.2310362999997</v>
      </c>
      <c r="E94" s="178">
        <v>0</v>
      </c>
      <c r="F94" s="178">
        <v>2840</v>
      </c>
      <c r="G94" s="178">
        <v>1670</v>
      </c>
      <c r="H94" s="178">
        <v>282.89326999999997</v>
      </c>
      <c r="I94" s="178">
        <v>30.073382299999999</v>
      </c>
      <c r="J94" s="178">
        <v>896.26438399999995</v>
      </c>
      <c r="L94" s="123" t="s">
        <v>574</v>
      </c>
      <c r="M94" s="11" t="s">
        <v>29</v>
      </c>
      <c r="N94" s="180">
        <f t="shared" si="88"/>
        <v>0</v>
      </c>
      <c r="O94" s="180">
        <f t="shared" si="88"/>
        <v>0.49657025253473763</v>
      </c>
      <c r="P94" s="180">
        <f t="shared" si="88"/>
        <v>0.29199729638486333</v>
      </c>
      <c r="Q94" s="180">
        <f t="shared" si="88"/>
        <v>4.9463514973337216E-2</v>
      </c>
      <c r="R94" s="180">
        <f t="shared" si="88"/>
        <v>5.2582912124241928E-3</v>
      </c>
      <c r="S94" s="180">
        <f t="shared" si="88"/>
        <v>0.15671064489463768</v>
      </c>
    </row>
    <row r="95" spans="2:19" x14ac:dyDescent="0.25">
      <c r="B95" s="123" t="s">
        <v>576</v>
      </c>
      <c r="C95" s="11" t="s">
        <v>577</v>
      </c>
      <c r="D95" s="15">
        <f t="shared" si="87"/>
        <v>6.7966662199999996</v>
      </c>
      <c r="E95" s="178">
        <v>0</v>
      </c>
      <c r="F95" s="178">
        <v>3.51</v>
      </c>
      <c r="G95" s="178">
        <v>2.02</v>
      </c>
      <c r="H95" s="178">
        <v>0.63850711000000004</v>
      </c>
      <c r="I95" s="178">
        <v>0.12814948000000001</v>
      </c>
      <c r="J95" s="178">
        <v>0.50000962999999998</v>
      </c>
      <c r="L95" s="123" t="s">
        <v>576</v>
      </c>
      <c r="M95" s="11" t="s">
        <v>29</v>
      </c>
      <c r="N95" s="180">
        <f t="shared" si="88"/>
        <v>0</v>
      </c>
      <c r="O95" s="180">
        <f t="shared" si="88"/>
        <v>0.51642965630288085</v>
      </c>
      <c r="P95" s="180">
        <f t="shared" si="88"/>
        <v>0.29720453154752685</v>
      </c>
      <c r="Q95" s="180">
        <f t="shared" si="88"/>
        <v>9.3944161642235249E-2</v>
      </c>
      <c r="R95" s="180">
        <f t="shared" si="88"/>
        <v>1.8854755530425329E-2</v>
      </c>
      <c r="S95" s="180">
        <f t="shared" si="88"/>
        <v>7.3566894976931793E-2</v>
      </c>
    </row>
    <row r="97" spans="2:30" s="148" customFormat="1" ht="15.75" thickBot="1" x14ac:dyDescent="0.3">
      <c r="AD97" s="190"/>
    </row>
    <row r="100" spans="2:30" x14ac:dyDescent="0.25">
      <c r="B100" s="282" t="s">
        <v>626</v>
      </c>
      <c r="C100" s="282"/>
      <c r="D100" s="282"/>
      <c r="E100" s="282"/>
      <c r="F100" s="282"/>
      <c r="G100" s="282"/>
      <c r="H100" s="282"/>
      <c r="I100" s="282"/>
      <c r="J100" s="282"/>
      <c r="K100" s="282"/>
      <c r="L100" s="282"/>
      <c r="M100" s="282"/>
      <c r="N100" s="282"/>
      <c r="O100" s="282"/>
      <c r="P100" s="282"/>
      <c r="Q100" s="282"/>
      <c r="R100" s="282"/>
      <c r="S100" s="282"/>
    </row>
    <row r="102" spans="2:30" ht="27.95" customHeight="1" x14ac:dyDescent="0.25">
      <c r="B102" s="162" t="s">
        <v>547</v>
      </c>
      <c r="C102" s="162" t="s">
        <v>337</v>
      </c>
      <c r="D102" s="162" t="s">
        <v>595</v>
      </c>
      <c r="E102" s="162" t="s">
        <v>615</v>
      </c>
      <c r="F102" s="162" t="s">
        <v>548</v>
      </c>
      <c r="G102" s="162" t="s">
        <v>549</v>
      </c>
      <c r="H102" s="162" t="s">
        <v>582</v>
      </c>
      <c r="L102" s="162" t="s">
        <v>547</v>
      </c>
      <c r="M102" s="162" t="s">
        <v>337</v>
      </c>
      <c r="N102" s="162" t="s">
        <v>615</v>
      </c>
      <c r="O102" s="162" t="s">
        <v>548</v>
      </c>
      <c r="P102" s="162" t="s">
        <v>549</v>
      </c>
      <c r="Q102" s="162" t="s">
        <v>582</v>
      </c>
    </row>
    <row r="103" spans="2:30" x14ac:dyDescent="0.25">
      <c r="B103" s="123" t="s">
        <v>588</v>
      </c>
      <c r="C103" s="11" t="s">
        <v>589</v>
      </c>
      <c r="D103" s="15">
        <f>SUM(E103:J103)</f>
        <v>2.5534002420000003E-4</v>
      </c>
      <c r="E103" s="178">
        <v>0</v>
      </c>
      <c r="F103" s="178">
        <v>2.4600000000000002E-4</v>
      </c>
      <c r="G103" s="178">
        <v>2.4200000000000001E-11</v>
      </c>
      <c r="H103" s="178">
        <v>9.3400000000000004E-6</v>
      </c>
      <c r="L103" s="123" t="s">
        <v>588</v>
      </c>
      <c r="M103" s="11" t="s">
        <v>29</v>
      </c>
      <c r="N103" s="180">
        <f>E103/$D103</f>
        <v>0</v>
      </c>
      <c r="O103" s="180">
        <f t="shared" ref="O103:Q106" si="89">F103/$D103</f>
        <v>0.96342122928333296</v>
      </c>
      <c r="P103" s="180">
        <f t="shared" si="89"/>
        <v>9.4775584344132758E-8</v>
      </c>
      <c r="Q103" s="180">
        <f t="shared" si="89"/>
        <v>3.657867594108264E-2</v>
      </c>
    </row>
    <row r="104" spans="2:30" ht="17.25" x14ac:dyDescent="0.25">
      <c r="B104" s="123" t="s">
        <v>590</v>
      </c>
      <c r="C104" s="11" t="s">
        <v>591</v>
      </c>
      <c r="D104" s="15">
        <f t="shared" ref="D104:D106" si="90">SUM(E104:J104)</f>
        <v>133.40003719999999</v>
      </c>
      <c r="E104" s="178">
        <v>0</v>
      </c>
      <c r="F104" s="178">
        <v>123</v>
      </c>
      <c r="G104" s="178">
        <v>3.7200000000000003E-5</v>
      </c>
      <c r="H104" s="178">
        <v>10.4</v>
      </c>
      <c r="L104" s="123" t="s">
        <v>590</v>
      </c>
      <c r="M104" s="11" t="s">
        <v>29</v>
      </c>
      <c r="N104" s="180">
        <f t="shared" ref="N104:N106" si="91">E104/$D104</f>
        <v>0</v>
      </c>
      <c r="O104" s="180">
        <f t="shared" si="89"/>
        <v>0.92203872338950155</v>
      </c>
      <c r="P104" s="180">
        <f t="shared" si="89"/>
        <v>2.7886049195194685E-7</v>
      </c>
      <c r="Q104" s="180">
        <f t="shared" si="89"/>
        <v>7.796099775000663E-2</v>
      </c>
    </row>
    <row r="105" spans="2:30" s="192" customFormat="1" ht="18" x14ac:dyDescent="0.25">
      <c r="B105" s="171" t="s">
        <v>592</v>
      </c>
      <c r="C105" s="161" t="s">
        <v>573</v>
      </c>
      <c r="D105" s="185">
        <f t="shared" si="90"/>
        <v>353.10000002370003</v>
      </c>
      <c r="E105" s="186">
        <v>0</v>
      </c>
      <c r="F105" s="186">
        <v>335</v>
      </c>
      <c r="G105" s="186">
        <v>2.37E-8</v>
      </c>
      <c r="H105" s="186">
        <v>18.100000000000001</v>
      </c>
      <c r="I105" s="128"/>
      <c r="J105" s="128"/>
      <c r="K105" s="128"/>
      <c r="L105" s="171" t="s">
        <v>592</v>
      </c>
      <c r="M105" s="161" t="s">
        <v>29</v>
      </c>
      <c r="N105" s="191">
        <f t="shared" si="91"/>
        <v>0</v>
      </c>
      <c r="O105" s="191">
        <f t="shared" si="89"/>
        <v>0.94873973372278342</v>
      </c>
      <c r="P105" s="191">
        <f t="shared" si="89"/>
        <v>6.7119796087253643E-11</v>
      </c>
      <c r="Q105" s="191">
        <f t="shared" si="89"/>
        <v>5.1260266210096661E-2</v>
      </c>
      <c r="R105" s="128"/>
      <c r="S105" s="128"/>
      <c r="AD105" s="193"/>
    </row>
    <row r="106" spans="2:30" x14ac:dyDescent="0.25">
      <c r="B106" s="123" t="s">
        <v>593</v>
      </c>
      <c r="C106" s="11" t="s">
        <v>575</v>
      </c>
      <c r="D106" s="15">
        <f t="shared" si="90"/>
        <v>6129.15</v>
      </c>
      <c r="E106" s="178">
        <v>0</v>
      </c>
      <c r="F106" s="178">
        <v>5830</v>
      </c>
      <c r="G106" s="178">
        <v>2.15</v>
      </c>
      <c r="H106" s="178">
        <v>297</v>
      </c>
      <c r="L106" s="123" t="s">
        <v>593</v>
      </c>
      <c r="M106" s="11" t="s">
        <v>29</v>
      </c>
      <c r="N106" s="180">
        <f t="shared" si="91"/>
        <v>0</v>
      </c>
      <c r="O106" s="180">
        <f t="shared" si="89"/>
        <v>0.951192253411974</v>
      </c>
      <c r="P106" s="180">
        <f t="shared" si="89"/>
        <v>3.5078273496324939E-4</v>
      </c>
      <c r="Q106" s="180">
        <f t="shared" si="89"/>
        <v>4.8456963853062827E-2</v>
      </c>
    </row>
    <row r="108" spans="2:30" ht="17.25" x14ac:dyDescent="0.25">
      <c r="B108" s="282" t="s">
        <v>627</v>
      </c>
      <c r="C108" s="282"/>
      <c r="D108" s="282"/>
      <c r="E108" s="282"/>
      <c r="F108" s="282"/>
      <c r="G108" s="282"/>
      <c r="H108" s="282"/>
      <c r="I108" s="282"/>
      <c r="J108" s="282"/>
      <c r="K108" s="282"/>
      <c r="L108" s="282"/>
      <c r="M108" s="282"/>
      <c r="N108" s="282"/>
      <c r="O108" s="282"/>
      <c r="P108" s="282"/>
      <c r="Q108" s="282"/>
      <c r="R108" s="282"/>
      <c r="S108" s="282"/>
      <c r="T108" s="282"/>
      <c r="U108" s="282"/>
      <c r="V108" s="282"/>
      <c r="W108" s="282"/>
      <c r="X108" s="282"/>
      <c r="Y108" s="282"/>
    </row>
    <row r="110" spans="2:30" ht="27.95" customHeight="1" x14ac:dyDescent="0.25">
      <c r="B110" s="162" t="s">
        <v>547</v>
      </c>
      <c r="C110" s="162" t="s">
        <v>337</v>
      </c>
      <c r="D110" s="162" t="s">
        <v>213</v>
      </c>
      <c r="E110" s="162" t="s">
        <v>578</v>
      </c>
      <c r="F110" s="162" t="s">
        <v>218</v>
      </c>
      <c r="G110" s="162" t="s">
        <v>579</v>
      </c>
      <c r="H110" s="162" t="s">
        <v>316</v>
      </c>
      <c r="I110" s="162" t="s">
        <v>580</v>
      </c>
      <c r="J110" s="162" t="s">
        <v>581</v>
      </c>
      <c r="L110" s="122" t="s">
        <v>547</v>
      </c>
      <c r="M110" s="122" t="s">
        <v>337</v>
      </c>
      <c r="N110" s="162" t="s">
        <v>578</v>
      </c>
      <c r="O110" s="162" t="s">
        <v>218</v>
      </c>
      <c r="P110" s="162" t="s">
        <v>579</v>
      </c>
      <c r="Q110" s="162" t="s">
        <v>316</v>
      </c>
      <c r="R110" s="162" t="s">
        <v>580</v>
      </c>
      <c r="S110" s="162" t="s">
        <v>581</v>
      </c>
    </row>
    <row r="111" spans="2:30" x14ac:dyDescent="0.25">
      <c r="B111" s="123" t="s">
        <v>588</v>
      </c>
      <c r="C111" s="11" t="s">
        <v>589</v>
      </c>
      <c r="D111" s="15">
        <f>SUM(E111:J111)</f>
        <v>2.8226661462790005E-4</v>
      </c>
      <c r="E111" s="178">
        <f>D119</f>
        <v>2.144983E-4</v>
      </c>
      <c r="F111" s="178">
        <v>6.5772000000000007E-5</v>
      </c>
      <c r="G111" s="178">
        <v>1.3724999999999999E-7</v>
      </c>
      <c r="H111" s="178">
        <v>4.6278999999999997E-12</v>
      </c>
      <c r="I111" s="178">
        <v>7.3015999999999997E-7</v>
      </c>
      <c r="J111" s="178">
        <v>1.1288999999999999E-6</v>
      </c>
      <c r="L111" s="123" t="s">
        <v>588</v>
      </c>
      <c r="M111" s="11" t="s">
        <v>29</v>
      </c>
      <c r="N111" s="180">
        <f t="shared" ref="N111:S114" si="92">E111/$D111</f>
        <v>0.75991381510974609</v>
      </c>
      <c r="O111" s="180">
        <f t="shared" si="92"/>
        <v>0.2330137415886197</v>
      </c>
      <c r="P111" s="180">
        <f t="shared" si="92"/>
        <v>4.8624241368725368E-4</v>
      </c>
      <c r="Q111" s="180">
        <f t="shared" si="92"/>
        <v>1.6395491922063688E-8</v>
      </c>
      <c r="R111" s="180">
        <f t="shared" si="92"/>
        <v>2.5867742133179245E-3</v>
      </c>
      <c r="S111" s="180">
        <f t="shared" si="92"/>
        <v>3.9994102791369082E-3</v>
      </c>
    </row>
    <row r="112" spans="2:30" ht="17.25" x14ac:dyDescent="0.25">
      <c r="B112" s="123" t="s">
        <v>590</v>
      </c>
      <c r="C112" s="11" t="s">
        <v>591</v>
      </c>
      <c r="D112" s="15">
        <f>SUM(E112:J112)</f>
        <v>141.04922561340001</v>
      </c>
      <c r="E112" s="178">
        <f t="shared" ref="E112:E114" si="93">D120</f>
        <v>121.27049814</v>
      </c>
      <c r="F112" s="178">
        <v>19.578203899999998</v>
      </c>
      <c r="G112" s="178">
        <v>2.5783400000000001E-3</v>
      </c>
      <c r="H112" s="178">
        <v>7.1134000000000004E-6</v>
      </c>
      <c r="I112" s="178">
        <v>3.5251360000000002E-2</v>
      </c>
      <c r="J112" s="178">
        <v>0.16268676000000001</v>
      </c>
      <c r="L112" s="123" t="s">
        <v>590</v>
      </c>
      <c r="M112" s="11" t="s">
        <v>29</v>
      </c>
      <c r="N112" s="180">
        <f t="shared" si="92"/>
        <v>0.85977429236221925</v>
      </c>
      <c r="O112" s="180">
        <f t="shared" si="92"/>
        <v>0.13880405096063159</v>
      </c>
      <c r="P112" s="180">
        <f t="shared" si="92"/>
        <v>1.8279717515549775E-5</v>
      </c>
      <c r="Q112" s="180">
        <f t="shared" si="92"/>
        <v>5.0432038666394565E-8</v>
      </c>
      <c r="R112" s="180">
        <f t="shared" si="92"/>
        <v>2.4992239302766534E-4</v>
      </c>
      <c r="S112" s="180">
        <f t="shared" si="92"/>
        <v>1.1534041345672187E-3</v>
      </c>
    </row>
    <row r="113" spans="2:30" s="192" customFormat="1" ht="18" x14ac:dyDescent="0.25">
      <c r="B113" s="171" t="s">
        <v>592</v>
      </c>
      <c r="C113" s="161" t="s">
        <v>573</v>
      </c>
      <c r="D113" s="185">
        <f>SUM(E113:J113)</f>
        <v>384.24502739454198</v>
      </c>
      <c r="E113" s="186">
        <f t="shared" si="93"/>
        <v>325.83180666999999</v>
      </c>
      <c r="F113" s="186">
        <v>48.431099799999998</v>
      </c>
      <c r="G113" s="186">
        <v>2.1249600000000002</v>
      </c>
      <c r="H113" s="186">
        <v>4.5420999999999999E-9</v>
      </c>
      <c r="I113" s="186">
        <v>6.68803503</v>
      </c>
      <c r="J113" s="186">
        <v>1.1691258899999999</v>
      </c>
      <c r="K113" s="128"/>
      <c r="L113" s="171" t="s">
        <v>592</v>
      </c>
      <c r="M113" s="161" t="s">
        <v>29</v>
      </c>
      <c r="N113" s="191">
        <f t="shared" si="92"/>
        <v>0.84797924095303012</v>
      </c>
      <c r="O113" s="191">
        <f t="shared" si="92"/>
        <v>0.12604222916923022</v>
      </c>
      <c r="P113" s="191">
        <f t="shared" si="92"/>
        <v>5.5302212091299123E-3</v>
      </c>
      <c r="Q113" s="191">
        <f t="shared" si="92"/>
        <v>1.1820842629503129E-11</v>
      </c>
      <c r="R113" s="191">
        <f t="shared" si="92"/>
        <v>1.7405651480644251E-2</v>
      </c>
      <c r="S113" s="191">
        <f t="shared" si="92"/>
        <v>3.0426571761449079E-3</v>
      </c>
      <c r="AD113" s="193"/>
    </row>
    <row r="114" spans="2:30" x14ac:dyDescent="0.25">
      <c r="B114" s="123" t="s">
        <v>593</v>
      </c>
      <c r="C114" s="11" t="s">
        <v>575</v>
      </c>
      <c r="D114" s="15">
        <f>SUM(E114:J114)</f>
        <v>6689.5989115100001</v>
      </c>
      <c r="E114" s="178">
        <f t="shared" si="93"/>
        <v>5965.5657783000006</v>
      </c>
      <c r="F114" s="178">
        <v>562.102486</v>
      </c>
      <c r="G114" s="178">
        <v>24.7912</v>
      </c>
      <c r="H114" s="178">
        <v>0.41173841</v>
      </c>
      <c r="I114" s="178">
        <v>112.90541899999999</v>
      </c>
      <c r="J114" s="178">
        <v>23.8222898</v>
      </c>
      <c r="L114" s="123" t="s">
        <v>593</v>
      </c>
      <c r="M114" s="11" t="s">
        <v>29</v>
      </c>
      <c r="N114" s="180">
        <f t="shared" si="92"/>
        <v>0.8917673327224086</v>
      </c>
      <c r="O114" s="180">
        <f t="shared" si="92"/>
        <v>8.4026336023353632E-2</v>
      </c>
      <c r="P114" s="180">
        <f t="shared" si="92"/>
        <v>3.7059321983183057E-3</v>
      </c>
      <c r="Q114" s="180">
        <f t="shared" si="92"/>
        <v>6.154904284195133E-5</v>
      </c>
      <c r="R114" s="180">
        <f t="shared" si="92"/>
        <v>1.6877756124621616E-2</v>
      </c>
      <c r="S114" s="180">
        <f t="shared" si="92"/>
        <v>3.5610938884559746E-3</v>
      </c>
    </row>
    <row r="116" spans="2:30" x14ac:dyDescent="0.25">
      <c r="B116" s="283" t="s">
        <v>628</v>
      </c>
      <c r="C116" s="284"/>
      <c r="D116" s="284"/>
      <c r="E116" s="284"/>
      <c r="F116" s="284"/>
      <c r="G116" s="284"/>
      <c r="H116" s="284"/>
      <c r="I116" s="284"/>
      <c r="J116" s="284"/>
      <c r="K116" s="285"/>
    </row>
    <row r="118" spans="2:30" ht="28.5" customHeight="1" x14ac:dyDescent="0.25">
      <c r="B118" s="162" t="s">
        <v>547</v>
      </c>
      <c r="C118" s="162" t="s">
        <v>337</v>
      </c>
      <c r="D118" s="162" t="s">
        <v>213</v>
      </c>
      <c r="E118" s="162" t="s">
        <v>583</v>
      </c>
      <c r="F118" s="162" t="s">
        <v>581</v>
      </c>
      <c r="H118" s="122" t="s">
        <v>547</v>
      </c>
      <c r="I118" s="122" t="s">
        <v>337</v>
      </c>
      <c r="J118" s="162" t="s">
        <v>583</v>
      </c>
      <c r="K118" s="162" t="s">
        <v>581</v>
      </c>
    </row>
    <row r="119" spans="2:30" x14ac:dyDescent="0.25">
      <c r="B119" s="123" t="s">
        <v>588</v>
      </c>
      <c r="C119" s="11" t="s">
        <v>589</v>
      </c>
      <c r="D119" s="15">
        <f>SUM(E119:F119)</f>
        <v>2.144983E-4</v>
      </c>
      <c r="E119" s="178">
        <f>D127</f>
        <v>2.117005E-4</v>
      </c>
      <c r="F119" s="178">
        <v>2.7978000000000001E-6</v>
      </c>
      <c r="H119" s="123" t="s">
        <v>588</v>
      </c>
      <c r="I119" s="11" t="s">
        <v>29</v>
      </c>
      <c r="J119" s="180">
        <f>E119/$D119</f>
        <v>0.98695653998190203</v>
      </c>
      <c r="K119" s="180">
        <f>F119/$D119</f>
        <v>1.3043460018098045E-2</v>
      </c>
    </row>
    <row r="120" spans="2:30" ht="17.25" x14ac:dyDescent="0.25">
      <c r="B120" s="123" t="s">
        <v>590</v>
      </c>
      <c r="C120" s="11" t="s">
        <v>591</v>
      </c>
      <c r="D120" s="15">
        <f t="shared" ref="D120:D122" si="94">SUM(E120:F120)</f>
        <v>121.27049814</v>
      </c>
      <c r="E120" s="178">
        <f t="shared" ref="E120:E122" si="95">D128</f>
        <v>120.86728975</v>
      </c>
      <c r="F120" s="178">
        <v>0.40320839000000003</v>
      </c>
      <c r="H120" s="123" t="s">
        <v>590</v>
      </c>
      <c r="I120" s="11" t="s">
        <v>29</v>
      </c>
      <c r="J120" s="180">
        <f t="shared" ref="J120:K122" si="96">E120/$D120</f>
        <v>0.99667513207099623</v>
      </c>
      <c r="K120" s="180">
        <f t="shared" si="96"/>
        <v>3.3248679290037923E-3</v>
      </c>
    </row>
    <row r="121" spans="2:30" s="192" customFormat="1" ht="18" x14ac:dyDescent="0.25">
      <c r="B121" s="171" t="s">
        <v>592</v>
      </c>
      <c r="C121" s="161" t="s">
        <v>573</v>
      </c>
      <c r="D121" s="185">
        <f t="shared" si="94"/>
        <v>325.83180666999999</v>
      </c>
      <c r="E121" s="186">
        <f t="shared" si="95"/>
        <v>322.93420534000001</v>
      </c>
      <c r="F121" s="186">
        <v>2.8976013300000001</v>
      </c>
      <c r="H121" s="171" t="s">
        <v>592</v>
      </c>
      <c r="I121" s="161" t="s">
        <v>29</v>
      </c>
      <c r="J121" s="191">
        <f t="shared" si="96"/>
        <v>0.99110706422551731</v>
      </c>
      <c r="K121" s="191">
        <f t="shared" si="96"/>
        <v>8.8929357744827811E-3</v>
      </c>
      <c r="AD121" s="193"/>
    </row>
    <row r="122" spans="2:30" x14ac:dyDescent="0.25">
      <c r="B122" s="123" t="s">
        <v>593</v>
      </c>
      <c r="C122" s="11" t="s">
        <v>575</v>
      </c>
      <c r="D122" s="15">
        <f t="shared" si="94"/>
        <v>5965.5657783000006</v>
      </c>
      <c r="E122" s="178">
        <f t="shared" si="95"/>
        <v>5906.5238061000009</v>
      </c>
      <c r="F122" s="178">
        <v>59.041972199999996</v>
      </c>
      <c r="H122" s="123" t="s">
        <v>593</v>
      </c>
      <c r="I122" s="11" t="s">
        <v>29</v>
      </c>
      <c r="J122" s="180">
        <f t="shared" si="96"/>
        <v>0.99010287131276509</v>
      </c>
      <c r="K122" s="180">
        <f t="shared" si="96"/>
        <v>9.8971286872349441E-3</v>
      </c>
    </row>
    <row r="124" spans="2:30" x14ac:dyDescent="0.25">
      <c r="B124" s="282" t="s">
        <v>629</v>
      </c>
      <c r="C124" s="282"/>
      <c r="D124" s="282"/>
      <c r="E124" s="282"/>
      <c r="F124" s="282"/>
      <c r="G124" s="282"/>
      <c r="H124" s="282"/>
      <c r="I124" s="282"/>
      <c r="J124" s="282"/>
      <c r="K124" s="282"/>
      <c r="L124" s="282"/>
      <c r="M124" s="282"/>
    </row>
    <row r="126" spans="2:30" ht="28.5" customHeight="1" x14ac:dyDescent="0.25">
      <c r="B126" s="162" t="s">
        <v>547</v>
      </c>
      <c r="C126" s="162" t="s">
        <v>337</v>
      </c>
      <c r="D126" s="162" t="s">
        <v>213</v>
      </c>
      <c r="E126" s="162" t="s">
        <v>584</v>
      </c>
      <c r="F126" s="162" t="s">
        <v>581</v>
      </c>
      <c r="G126" s="162" t="s">
        <v>335</v>
      </c>
      <c r="I126" s="122" t="s">
        <v>547</v>
      </c>
      <c r="J126" s="122" t="s">
        <v>337</v>
      </c>
      <c r="K126" s="162" t="s">
        <v>584</v>
      </c>
      <c r="L126" s="162" t="s">
        <v>581</v>
      </c>
      <c r="M126" s="162" t="s">
        <v>335</v>
      </c>
    </row>
    <row r="127" spans="2:30" x14ac:dyDescent="0.25">
      <c r="B127" s="123" t="s">
        <v>588</v>
      </c>
      <c r="C127" s="11" t="s">
        <v>589</v>
      </c>
      <c r="D127" s="15">
        <f>SUM(E127:G127)</f>
        <v>2.117005E-4</v>
      </c>
      <c r="E127" s="178">
        <f>D135</f>
        <v>2.1162349999999998E-4</v>
      </c>
      <c r="F127" s="178">
        <v>1.3208E-5</v>
      </c>
      <c r="G127" s="178">
        <v>-1.3131E-5</v>
      </c>
      <c r="H127" s="179">
        <f>SUM(E127:F127)</f>
        <v>2.248315E-4</v>
      </c>
      <c r="I127" s="123" t="s">
        <v>588</v>
      </c>
      <c r="J127" s="11" t="s">
        <v>29</v>
      </c>
      <c r="K127" s="180">
        <f>E127/$H127</f>
        <v>0.94125378338889343</v>
      </c>
      <c r="L127" s="180">
        <f t="shared" ref="L127:M130" si="97">F127/$H127</f>
        <v>5.8746216611106537E-2</v>
      </c>
      <c r="M127" s="180">
        <f t="shared" si="97"/>
        <v>-5.840373791039067E-2</v>
      </c>
    </row>
    <row r="128" spans="2:30" ht="17.25" x14ac:dyDescent="0.25">
      <c r="B128" s="123" t="s">
        <v>590</v>
      </c>
      <c r="C128" s="11" t="s">
        <v>591</v>
      </c>
      <c r="D128" s="15">
        <f t="shared" ref="D128:D130" si="98">SUM(E128:G128)</f>
        <v>120.86728975</v>
      </c>
      <c r="E128" s="178">
        <f t="shared" ref="E128:E130" si="99">D136</f>
        <v>119.68380123</v>
      </c>
      <c r="F128" s="178">
        <v>1.9035418399999999</v>
      </c>
      <c r="G128" s="178">
        <v>-0.72005332</v>
      </c>
      <c r="H128" s="179">
        <f t="shared" ref="H128:H130" si="100">SUM(E128:F128)</f>
        <v>121.58734307</v>
      </c>
      <c r="I128" s="123" t="s">
        <v>590</v>
      </c>
      <c r="J128" s="11" t="s">
        <v>29</v>
      </c>
      <c r="K128" s="180">
        <f t="shared" ref="K128:K130" si="101">E128/$H128</f>
        <v>0.9843442434719204</v>
      </c>
      <c r="L128" s="180">
        <f t="shared" si="97"/>
        <v>1.5655756528079545E-2</v>
      </c>
      <c r="M128" s="180">
        <f t="shared" si="97"/>
        <v>-5.9221075304314568E-3</v>
      </c>
    </row>
    <row r="129" spans="2:30" s="192" customFormat="1" ht="18" x14ac:dyDescent="0.25">
      <c r="B129" s="171" t="s">
        <v>592</v>
      </c>
      <c r="C129" s="161" t="s">
        <v>573</v>
      </c>
      <c r="D129" s="185">
        <f t="shared" si="98"/>
        <v>322.93420534000001</v>
      </c>
      <c r="E129" s="186">
        <f t="shared" si="99"/>
        <v>316.31548846999999</v>
      </c>
      <c r="F129" s="186">
        <v>13.679540100000001</v>
      </c>
      <c r="G129" s="186">
        <v>-7.0608232299999996</v>
      </c>
      <c r="H129" s="179">
        <f t="shared" si="100"/>
        <v>329.99502856999999</v>
      </c>
      <c r="I129" s="171" t="s">
        <v>592</v>
      </c>
      <c r="J129" s="161" t="s">
        <v>29</v>
      </c>
      <c r="K129" s="191">
        <f t="shared" si="101"/>
        <v>0.95854622368319031</v>
      </c>
      <c r="L129" s="191">
        <f t="shared" si="97"/>
        <v>4.1453776316809687E-2</v>
      </c>
      <c r="M129" s="191">
        <f t="shared" si="97"/>
        <v>-2.1396756371140989E-2</v>
      </c>
      <c r="AD129" s="193"/>
    </row>
    <row r="130" spans="2:30" x14ac:dyDescent="0.25">
      <c r="B130" s="123" t="s">
        <v>593</v>
      </c>
      <c r="C130" s="11" t="s">
        <v>575</v>
      </c>
      <c r="D130" s="15">
        <f t="shared" si="98"/>
        <v>5906.5238061000009</v>
      </c>
      <c r="E130" s="178">
        <f t="shared" si="99"/>
        <v>5720.4977018000009</v>
      </c>
      <c r="F130" s="178">
        <v>278.73642100000001</v>
      </c>
      <c r="G130" s="178">
        <v>-92.710316700000007</v>
      </c>
      <c r="H130" s="179">
        <f t="shared" si="100"/>
        <v>5999.2341228000005</v>
      </c>
      <c r="I130" s="123" t="s">
        <v>593</v>
      </c>
      <c r="J130" s="11" t="s">
        <v>29</v>
      </c>
      <c r="K130" s="180">
        <f t="shared" si="101"/>
        <v>0.95353799913547865</v>
      </c>
      <c r="L130" s="180">
        <f t="shared" si="97"/>
        <v>4.6462000864521416E-2</v>
      </c>
      <c r="M130" s="180">
        <f t="shared" si="97"/>
        <v>-1.54536920550668E-2</v>
      </c>
    </row>
    <row r="132" spans="2:30" x14ac:dyDescent="0.25">
      <c r="B132" s="282" t="s">
        <v>630</v>
      </c>
      <c r="C132" s="282"/>
      <c r="D132" s="282"/>
      <c r="E132" s="282"/>
      <c r="F132" s="282"/>
      <c r="G132" s="282"/>
      <c r="H132" s="282"/>
      <c r="I132" s="282"/>
      <c r="J132" s="282"/>
      <c r="K132" s="282"/>
      <c r="L132" s="282"/>
      <c r="M132" s="282"/>
      <c r="N132" s="282"/>
      <c r="O132" s="282"/>
      <c r="P132" s="282"/>
      <c r="Q132" s="282"/>
    </row>
    <row r="134" spans="2:30" ht="27.95" customHeight="1" x14ac:dyDescent="0.25">
      <c r="B134" s="162" t="s">
        <v>547</v>
      </c>
      <c r="C134" s="162" t="s">
        <v>337</v>
      </c>
      <c r="D134" s="162" t="s">
        <v>213</v>
      </c>
      <c r="E134" s="162" t="s">
        <v>596</v>
      </c>
      <c r="F134" s="162" t="s">
        <v>585</v>
      </c>
      <c r="G134" s="162" t="s">
        <v>586</v>
      </c>
      <c r="H134" s="162" t="s">
        <v>209</v>
      </c>
      <c r="I134" s="162" t="s">
        <v>587</v>
      </c>
      <c r="J134" s="162" t="s">
        <v>581</v>
      </c>
      <c r="L134" s="122" t="s">
        <v>547</v>
      </c>
      <c r="M134" s="122" t="s">
        <v>337</v>
      </c>
      <c r="N134" s="162" t="s">
        <v>596</v>
      </c>
      <c r="O134" s="162" t="s">
        <v>585</v>
      </c>
      <c r="P134" s="162" t="s">
        <v>586</v>
      </c>
      <c r="Q134" s="162" t="s">
        <v>209</v>
      </c>
      <c r="R134" s="162" t="s">
        <v>587</v>
      </c>
      <c r="S134" s="162" t="s">
        <v>581</v>
      </c>
    </row>
    <row r="135" spans="2:30" x14ac:dyDescent="0.25">
      <c r="B135" s="123" t="s">
        <v>588</v>
      </c>
      <c r="C135" s="11" t="s">
        <v>589</v>
      </c>
      <c r="D135" s="15">
        <f>SUM(F135:J135)</f>
        <v>2.1162349999999998E-4</v>
      </c>
      <c r="E135" s="178">
        <v>0</v>
      </c>
      <c r="F135" s="178">
        <v>8.9400000000000005E-5</v>
      </c>
      <c r="G135" s="178">
        <v>5.8799999999999999E-5</v>
      </c>
      <c r="H135" s="178">
        <v>1.7215999999999999E-5</v>
      </c>
      <c r="I135" s="178">
        <v>3.7125E-6</v>
      </c>
      <c r="J135" s="178">
        <v>4.2494999999999999E-5</v>
      </c>
      <c r="L135" s="123" t="s">
        <v>588</v>
      </c>
      <c r="M135" s="11" t="s">
        <v>29</v>
      </c>
      <c r="N135" s="180">
        <f t="shared" ref="N135:S138" si="102">E135/$D135</f>
        <v>0</v>
      </c>
      <c r="O135" s="180">
        <f t="shared" si="102"/>
        <v>0.42244835757843535</v>
      </c>
      <c r="P135" s="180">
        <f t="shared" si="102"/>
        <v>0.27785193988380308</v>
      </c>
      <c r="Q135" s="180">
        <f t="shared" si="102"/>
        <v>8.1352023759176093E-2</v>
      </c>
      <c r="R135" s="180">
        <f t="shared" si="102"/>
        <v>1.7542947735010528E-2</v>
      </c>
      <c r="S135" s="180">
        <f t="shared" si="102"/>
        <v>0.20080473104357505</v>
      </c>
    </row>
    <row r="136" spans="2:30" ht="17.25" x14ac:dyDescent="0.25">
      <c r="B136" s="123" t="s">
        <v>590</v>
      </c>
      <c r="C136" s="11" t="s">
        <v>591</v>
      </c>
      <c r="D136" s="15">
        <f>SUM(F136:J136)</f>
        <v>119.68380123</v>
      </c>
      <c r="E136" s="178">
        <v>0</v>
      </c>
      <c r="F136" s="178">
        <v>99.1</v>
      </c>
      <c r="G136" s="178">
        <v>10.8</v>
      </c>
      <c r="H136" s="178">
        <v>3.2111974399999998</v>
      </c>
      <c r="I136" s="178">
        <v>0.44843630000000001</v>
      </c>
      <c r="J136" s="178">
        <v>6.1241674899999996</v>
      </c>
      <c r="L136" s="123" t="s">
        <v>590</v>
      </c>
      <c r="M136" s="11" t="s">
        <v>29</v>
      </c>
      <c r="N136" s="180">
        <f t="shared" si="102"/>
        <v>0</v>
      </c>
      <c r="O136" s="180">
        <f t="shared" si="102"/>
        <v>0.82801514475260118</v>
      </c>
      <c r="P136" s="180">
        <f t="shared" si="102"/>
        <v>9.023777561380518E-2</v>
      </c>
      <c r="Q136" s="180">
        <f t="shared" si="102"/>
        <v>2.6830677226143112E-2</v>
      </c>
      <c r="R136" s="180">
        <f t="shared" si="102"/>
        <v>3.7468420570819466E-3</v>
      </c>
      <c r="S136" s="180">
        <f t="shared" si="102"/>
        <v>5.1169560350368556E-2</v>
      </c>
    </row>
    <row r="137" spans="2:30" s="192" customFormat="1" ht="18" x14ac:dyDescent="0.25">
      <c r="B137" s="171" t="s">
        <v>592</v>
      </c>
      <c r="C137" s="161" t="s">
        <v>573</v>
      </c>
      <c r="D137" s="185">
        <f>SUM(F137:J137)</f>
        <v>316.31548846999999</v>
      </c>
      <c r="E137" s="186">
        <v>0</v>
      </c>
      <c r="F137" s="186">
        <v>173</v>
      </c>
      <c r="G137" s="186">
        <v>81.400000000000006</v>
      </c>
      <c r="H137" s="186">
        <v>15.9121243</v>
      </c>
      <c r="I137" s="186">
        <v>1.99288157</v>
      </c>
      <c r="J137" s="186">
        <v>44.010482600000003</v>
      </c>
      <c r="L137" s="171" t="s">
        <v>592</v>
      </c>
      <c r="M137" s="161" t="s">
        <v>29</v>
      </c>
      <c r="N137" s="191">
        <f t="shared" si="102"/>
        <v>0</v>
      </c>
      <c r="O137" s="191">
        <f t="shared" si="102"/>
        <v>0.54692231745208286</v>
      </c>
      <c r="P137" s="191">
        <f t="shared" si="102"/>
        <v>0.25733801526358119</v>
      </c>
      <c r="Q137" s="191">
        <f t="shared" si="102"/>
        <v>5.0304600564980359E-2</v>
      </c>
      <c r="R137" s="191">
        <f t="shared" si="102"/>
        <v>6.3002971483927476E-3</v>
      </c>
      <c r="S137" s="191">
        <f t="shared" si="102"/>
        <v>0.13913476957096285</v>
      </c>
      <c r="AD137" s="193"/>
    </row>
    <row r="138" spans="2:30" x14ac:dyDescent="0.25">
      <c r="B138" s="123" t="s">
        <v>593</v>
      </c>
      <c r="C138" s="11" t="s">
        <v>575</v>
      </c>
      <c r="D138" s="15">
        <f>SUM(F138:J138)</f>
        <v>5720.4977018000009</v>
      </c>
      <c r="E138" s="178">
        <v>0</v>
      </c>
      <c r="F138" s="178">
        <v>2840</v>
      </c>
      <c r="G138" s="178">
        <v>1670</v>
      </c>
      <c r="H138" s="178">
        <v>283.53177699999998</v>
      </c>
      <c r="I138" s="178">
        <v>30.201531800000001</v>
      </c>
      <c r="J138" s="178">
        <v>896.76439300000004</v>
      </c>
      <c r="L138" s="123" t="s">
        <v>593</v>
      </c>
      <c r="M138" s="11" t="s">
        <v>29</v>
      </c>
      <c r="N138" s="180">
        <f t="shared" si="102"/>
        <v>0</v>
      </c>
      <c r="O138" s="180">
        <f t="shared" si="102"/>
        <v>0.49646029909362099</v>
      </c>
      <c r="P138" s="180">
        <f t="shared" si="102"/>
        <v>0.29193264066420671</v>
      </c>
      <c r="Q138" s="180">
        <f t="shared" si="102"/>
        <v>4.9564179863368252E-2</v>
      </c>
      <c r="R138" s="180">
        <f t="shared" si="102"/>
        <v>5.2795287008850379E-3</v>
      </c>
      <c r="S138" s="180">
        <f t="shared" si="102"/>
        <v>0.15676335167791883</v>
      </c>
    </row>
  </sheetData>
  <mergeCells count="52">
    <mergeCell ref="B124:M124"/>
    <mergeCell ref="B132:Q132"/>
    <mergeCell ref="B78:Q78"/>
    <mergeCell ref="AE78:AE79"/>
    <mergeCell ref="AM78:AM79"/>
    <mergeCell ref="B100:S100"/>
    <mergeCell ref="B108:Y108"/>
    <mergeCell ref="B116:K116"/>
    <mergeCell ref="AE69:AE70"/>
    <mergeCell ref="AM69:AM70"/>
    <mergeCell ref="AE72:AE73"/>
    <mergeCell ref="AM72:AM73"/>
    <mergeCell ref="AE75:AE76"/>
    <mergeCell ref="AM75:AM76"/>
    <mergeCell ref="B59:M59"/>
    <mergeCell ref="AE60:AE61"/>
    <mergeCell ref="AM60:AM61"/>
    <mergeCell ref="AE63:AE64"/>
    <mergeCell ref="AM63:AM64"/>
    <mergeCell ref="AE66:AE67"/>
    <mergeCell ref="AM66:AM67"/>
    <mergeCell ref="AE51:AE52"/>
    <mergeCell ref="AM51:AM52"/>
    <mergeCell ref="AE54:AE55"/>
    <mergeCell ref="AM54:AM55"/>
    <mergeCell ref="AE57:AE58"/>
    <mergeCell ref="AM57:AM58"/>
    <mergeCell ref="AE42:AE43"/>
    <mergeCell ref="AM42:AM43"/>
    <mergeCell ref="AE45:AE46"/>
    <mergeCell ref="AM45:AM46"/>
    <mergeCell ref="AE48:AE49"/>
    <mergeCell ref="AM48:AM49"/>
    <mergeCell ref="AN33:AQ33"/>
    <mergeCell ref="AE36:AE37"/>
    <mergeCell ref="AM36:AM37"/>
    <mergeCell ref="AE39:AE40"/>
    <mergeCell ref="AM39:AM40"/>
    <mergeCell ref="B40:K40"/>
    <mergeCell ref="AE11:AE12"/>
    <mergeCell ref="AM11:AM12"/>
    <mergeCell ref="AE14:AE15"/>
    <mergeCell ref="AM14:AM15"/>
    <mergeCell ref="B21:Y21"/>
    <mergeCell ref="AF33:AJ33"/>
    <mergeCell ref="AE8:AE9"/>
    <mergeCell ref="AM8:AM9"/>
    <mergeCell ref="B2:S2"/>
    <mergeCell ref="AF2:AJ2"/>
    <mergeCell ref="AN2:AQ2"/>
    <mergeCell ref="AE5:AE6"/>
    <mergeCell ref="AM5:AM6"/>
  </mergeCell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S138"/>
  <sheetViews>
    <sheetView tabSelected="1" topLeftCell="AE1" zoomScale="90" zoomScaleNormal="90" workbookViewId="0">
      <selection activeCell="AJ6" sqref="AJ6"/>
    </sheetView>
  </sheetViews>
  <sheetFormatPr defaultColWidth="10.85546875" defaultRowHeight="15" x14ac:dyDescent="0.25"/>
  <cols>
    <col min="1" max="1" width="10.85546875" style="128"/>
    <col min="2" max="2" width="20.7109375" style="128" bestFit="1" customWidth="1"/>
    <col min="3" max="3" width="12.140625" style="128" bestFit="1" customWidth="1"/>
    <col min="4" max="4" width="15" style="128" bestFit="1" customWidth="1"/>
    <col min="5" max="5" width="13.5703125" style="128" customWidth="1"/>
    <col min="6" max="6" width="14.28515625" style="128" customWidth="1"/>
    <col min="7" max="7" width="12.42578125" style="128" bestFit="1" customWidth="1"/>
    <col min="8" max="8" width="19.85546875" style="128" bestFit="1" customWidth="1"/>
    <col min="9" max="9" width="20.5703125" style="128" bestFit="1" customWidth="1"/>
    <col min="10" max="10" width="12.140625" style="128" customWidth="1"/>
    <col min="11" max="11" width="20.42578125" style="128" customWidth="1"/>
    <col min="12" max="12" width="22.140625" style="128" customWidth="1"/>
    <col min="13" max="13" width="10.85546875" style="128" customWidth="1"/>
    <col min="14" max="14" width="14.28515625" style="128" customWidth="1"/>
    <col min="15" max="15" width="19.85546875" style="128" customWidth="1"/>
    <col min="16" max="16" width="10.85546875" style="128" customWidth="1"/>
    <col min="17" max="17" width="13.140625" style="128" customWidth="1"/>
    <col min="18" max="18" width="13.5703125" style="128" customWidth="1"/>
    <col min="19" max="23" width="10.85546875" style="128" customWidth="1"/>
    <col min="24" max="24" width="13.28515625" style="128" customWidth="1"/>
    <col min="25" max="25" width="13.42578125" style="128" customWidth="1"/>
    <col min="26" max="26" width="10.85546875" style="128"/>
    <col min="27" max="27" width="15.5703125" style="128" bestFit="1" customWidth="1"/>
    <col min="28" max="29" width="10.85546875" style="128"/>
    <col min="30" max="30" width="10.85546875" style="176"/>
    <col min="31" max="31" width="14.42578125" style="128" bestFit="1" customWidth="1"/>
    <col min="32" max="32" width="13.42578125" style="128" customWidth="1"/>
    <col min="33" max="33" width="14.140625" style="128" customWidth="1"/>
    <col min="34" max="34" width="13.140625" style="128" customWidth="1"/>
    <col min="35" max="38" width="10.85546875" style="128"/>
    <col min="39" max="39" width="15.5703125" style="128" bestFit="1" customWidth="1"/>
    <col min="40" max="40" width="11.85546875" style="128" customWidth="1"/>
    <col min="41" max="41" width="13.5703125" style="128" customWidth="1"/>
    <col min="42" max="16384" width="10.85546875" style="128"/>
  </cols>
  <sheetData>
    <row r="1" spans="1:44" ht="15.75" thickBot="1" x14ac:dyDescent="0.3">
      <c r="A1" s="175" t="s">
        <v>594</v>
      </c>
    </row>
    <row r="2" spans="1:44" ht="18" thickBot="1" x14ac:dyDescent="0.3">
      <c r="B2" s="282" t="s">
        <v>641</v>
      </c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AF2" s="279" t="s">
        <v>609</v>
      </c>
      <c r="AG2" s="280"/>
      <c r="AH2" s="280"/>
      <c r="AI2" s="280"/>
      <c r="AJ2" s="281"/>
      <c r="AN2" s="279" t="s">
        <v>610</v>
      </c>
      <c r="AO2" s="280"/>
      <c r="AP2" s="280"/>
      <c r="AQ2" s="281"/>
    </row>
    <row r="4" spans="1:44" ht="30" customHeight="1" x14ac:dyDescent="0.25">
      <c r="B4" s="162" t="s">
        <v>547</v>
      </c>
      <c r="C4" s="162" t="s">
        <v>337</v>
      </c>
      <c r="D4" s="162" t="s">
        <v>595</v>
      </c>
      <c r="E4" s="162" t="s">
        <v>615</v>
      </c>
      <c r="F4" s="162" t="s">
        <v>548</v>
      </c>
      <c r="G4" s="162" t="s">
        <v>549</v>
      </c>
      <c r="H4" s="162" t="s">
        <v>582</v>
      </c>
      <c r="L4" s="162" t="s">
        <v>547</v>
      </c>
      <c r="M4" s="162" t="s">
        <v>337</v>
      </c>
      <c r="N4" s="162" t="s">
        <v>615</v>
      </c>
      <c r="O4" s="162" t="s">
        <v>548</v>
      </c>
      <c r="P4" s="162" t="s">
        <v>549</v>
      </c>
      <c r="Q4" s="162" t="s">
        <v>582</v>
      </c>
      <c r="AF4" s="162" t="s">
        <v>615</v>
      </c>
      <c r="AG4" s="162" t="s">
        <v>548</v>
      </c>
      <c r="AH4" s="162" t="s">
        <v>578</v>
      </c>
      <c r="AI4" s="162" t="s">
        <v>583</v>
      </c>
      <c r="AJ4" s="162" t="s">
        <v>596</v>
      </c>
      <c r="AM4" s="177" t="s">
        <v>600</v>
      </c>
      <c r="AN4" s="162" t="s">
        <v>548</v>
      </c>
      <c r="AO4" s="162" t="s">
        <v>578</v>
      </c>
      <c r="AP4" s="162" t="s">
        <v>583</v>
      </c>
      <c r="AQ4" s="162" t="s">
        <v>596</v>
      </c>
    </row>
    <row r="5" spans="1:44" ht="18" x14ac:dyDescent="0.25">
      <c r="B5" s="123" t="s">
        <v>550</v>
      </c>
      <c r="C5" s="11" t="s">
        <v>551</v>
      </c>
      <c r="D5" s="15">
        <f>SUM(E5:J5)</f>
        <v>3.9640000765000001</v>
      </c>
      <c r="E5" s="178">
        <v>0</v>
      </c>
      <c r="F5" s="178">
        <v>3.82</v>
      </c>
      <c r="G5" s="178">
        <v>7.6500000000000003E-8</v>
      </c>
      <c r="H5" s="178">
        <v>0.14399999999999999</v>
      </c>
      <c r="L5" s="123" t="s">
        <v>550</v>
      </c>
      <c r="M5" s="11" t="s">
        <v>29</v>
      </c>
      <c r="N5" s="180">
        <f>E5/$D5</f>
        <v>0</v>
      </c>
      <c r="O5" s="180">
        <f t="shared" ref="O5:Q19" si="0">F5/$D5</f>
        <v>0.96367303892003342</v>
      </c>
      <c r="P5" s="180">
        <f t="shared" si="0"/>
        <v>1.9298687821304334E-8</v>
      </c>
      <c r="Q5" s="180">
        <f t="shared" si="0"/>
        <v>3.6326941781278745E-2</v>
      </c>
      <c r="T5" s="181"/>
      <c r="AE5" s="287" t="s">
        <v>572</v>
      </c>
      <c r="AF5" s="178">
        <f>D105</f>
        <v>300.10000002370003</v>
      </c>
      <c r="AG5" s="178">
        <f>AN5*Calculations!$C$47</f>
        <v>282.13305033519038</v>
      </c>
      <c r="AH5" s="178">
        <f>AO5*Calculations!$C$47</f>
        <v>231.22786647630886</v>
      </c>
      <c r="AI5" s="178">
        <f>AP5*Calculations!$C$47</f>
        <v>228.70270305227913</v>
      </c>
      <c r="AJ5" s="178">
        <f>AQ5*Calculations!$C$47</f>
        <v>222.93471089231809</v>
      </c>
      <c r="AM5" s="287" t="s">
        <v>572</v>
      </c>
      <c r="AN5" s="15">
        <f>D113</f>
        <v>323.74502739454198</v>
      </c>
      <c r="AO5" s="15">
        <f>D121</f>
        <v>265.33180666999999</v>
      </c>
      <c r="AP5" s="15">
        <f>D129</f>
        <v>262.43420534000001</v>
      </c>
      <c r="AQ5" s="15">
        <f>D137</f>
        <v>255.81548846999999</v>
      </c>
    </row>
    <row r="6" spans="1:44" ht="18" x14ac:dyDescent="0.25">
      <c r="B6" s="123" t="s">
        <v>552</v>
      </c>
      <c r="C6" s="11" t="s">
        <v>551</v>
      </c>
      <c r="D6" s="15">
        <f t="shared" ref="D6:D19" si="1">SUM(E6:J6)</f>
        <v>7.4860016399999996</v>
      </c>
      <c r="E6" s="178">
        <v>0</v>
      </c>
      <c r="F6" s="178">
        <v>7.16</v>
      </c>
      <c r="G6" s="178">
        <v>1.64E-6</v>
      </c>
      <c r="H6" s="178">
        <v>0.32600000000000001</v>
      </c>
      <c r="L6" s="123" t="s">
        <v>552</v>
      </c>
      <c r="M6" s="11" t="s">
        <v>29</v>
      </c>
      <c r="N6" s="180">
        <f t="shared" ref="N6:N19" si="2">E6/$D6</f>
        <v>0</v>
      </c>
      <c r="O6" s="180">
        <f t="shared" si="0"/>
        <v>0.9564518342798547</v>
      </c>
      <c r="P6" s="180">
        <f t="shared" si="0"/>
        <v>2.1907555980711756E-7</v>
      </c>
      <c r="Q6" s="180">
        <f t="shared" si="0"/>
        <v>4.3547946644585563E-2</v>
      </c>
      <c r="T6" s="181"/>
      <c r="AE6" s="287"/>
      <c r="AF6" s="15">
        <f t="shared" ref="AF6:AI6" si="3">AF5-AG5</f>
        <v>17.966949688509658</v>
      </c>
      <c r="AG6" s="15">
        <f t="shared" si="3"/>
        <v>50.905183858881514</v>
      </c>
      <c r="AH6" s="15">
        <f t="shared" si="3"/>
        <v>2.5251634240297278</v>
      </c>
      <c r="AI6" s="15">
        <f t="shared" si="3"/>
        <v>5.7679921599610395</v>
      </c>
      <c r="AJ6" s="15">
        <f>AJ5-AK5</f>
        <v>222.93471089231809</v>
      </c>
      <c r="AM6" s="287"/>
      <c r="AN6" s="15">
        <f t="shared" ref="AN6:AP6" si="4">AN5-AO5</f>
        <v>58.413220724541986</v>
      </c>
      <c r="AO6" s="15">
        <f t="shared" si="4"/>
        <v>2.8976013299999863</v>
      </c>
      <c r="AP6" s="15">
        <f t="shared" si="4"/>
        <v>6.6187168700000143</v>
      </c>
      <c r="AQ6" s="15">
        <f>AQ5-AR5</f>
        <v>255.81548846999999</v>
      </c>
    </row>
    <row r="7" spans="1:44" x14ac:dyDescent="0.25">
      <c r="B7" s="123" t="s">
        <v>553</v>
      </c>
      <c r="C7" s="11" t="s">
        <v>554</v>
      </c>
      <c r="D7" s="15">
        <f t="shared" si="1"/>
        <v>0.26840002200000002</v>
      </c>
      <c r="E7" s="178">
        <v>0</v>
      </c>
      <c r="F7" s="178">
        <v>0.25700000000000001</v>
      </c>
      <c r="G7" s="178">
        <v>2.1999999999999998E-8</v>
      </c>
      <c r="H7" s="178">
        <v>1.14E-2</v>
      </c>
      <c r="L7" s="123" t="s">
        <v>553</v>
      </c>
      <c r="M7" s="11" t="s">
        <v>29</v>
      </c>
      <c r="N7" s="180">
        <f t="shared" si="2"/>
        <v>0</v>
      </c>
      <c r="O7" s="180">
        <f t="shared" si="0"/>
        <v>0.95752600199116222</v>
      </c>
      <c r="P7" s="180">
        <f t="shared" si="0"/>
        <v>8.1967206396130616E-8</v>
      </c>
      <c r="Q7" s="180">
        <f t="shared" si="0"/>
        <v>4.2473916041631324E-2</v>
      </c>
      <c r="T7" s="181"/>
      <c r="AE7" s="123" t="s">
        <v>597</v>
      </c>
      <c r="AF7" s="182">
        <f>AF6/$AF$5</f>
        <v>5.9869875665080771E-2</v>
      </c>
      <c r="AG7" s="182">
        <f>AG6/$AF$5</f>
        <v>0.16962740371496615</v>
      </c>
      <c r="AH7" s="182">
        <f>AH6/$AF$5</f>
        <v>8.4144066105641662E-3</v>
      </c>
      <c r="AI7" s="182">
        <f>AI6/$AF$5</f>
        <v>1.9220233787089369E-2</v>
      </c>
      <c r="AJ7" s="182">
        <f>AJ6/$AF$5</f>
        <v>0.74286808022229955</v>
      </c>
      <c r="AK7" s="183">
        <f>SUM(AF7:AJ7)</f>
        <v>1</v>
      </c>
      <c r="AM7" s="123" t="s">
        <v>597</v>
      </c>
      <c r="AN7" s="174">
        <f>AN6/$AN$5</f>
        <v>0.18042970789279458</v>
      </c>
      <c r="AO7" s="174">
        <f t="shared" ref="AO7:AQ7" si="5">AO6/$AN$5</f>
        <v>8.9502574087994696E-3</v>
      </c>
      <c r="AP7" s="174">
        <f t="shared" si="5"/>
        <v>2.044422712301279E-2</v>
      </c>
      <c r="AQ7" s="174">
        <f>AQ6/$AN$5</f>
        <v>0.79017580757539319</v>
      </c>
      <c r="AR7" s="184">
        <f>SUM(AN7:AQ7)</f>
        <v>1</v>
      </c>
    </row>
    <row r="8" spans="1:44" x14ac:dyDescent="0.25">
      <c r="B8" s="123" t="s">
        <v>555</v>
      </c>
      <c r="C8" s="11" t="s">
        <v>556</v>
      </c>
      <c r="D8" s="15">
        <f t="shared" si="1"/>
        <v>5452.0150000000003</v>
      </c>
      <c r="E8" s="178">
        <v>0</v>
      </c>
      <c r="F8" s="178">
        <v>5300</v>
      </c>
      <c r="G8" s="178">
        <v>1.4999999999999999E-2</v>
      </c>
      <c r="H8" s="178">
        <v>152</v>
      </c>
      <c r="L8" s="123" t="s">
        <v>555</v>
      </c>
      <c r="M8" s="11" t="s">
        <v>29</v>
      </c>
      <c r="N8" s="180">
        <f t="shared" si="2"/>
        <v>0</v>
      </c>
      <c r="O8" s="180">
        <f t="shared" si="0"/>
        <v>0.97211764824564861</v>
      </c>
      <c r="P8" s="180">
        <f t="shared" si="0"/>
        <v>2.7512763629593828E-6</v>
      </c>
      <c r="Q8" s="180">
        <f t="shared" si="0"/>
        <v>2.787960047798841E-2</v>
      </c>
      <c r="T8" s="181"/>
      <c r="AE8" s="287" t="s">
        <v>588</v>
      </c>
      <c r="AF8" s="178">
        <f>D103</f>
        <v>2.2134002419999999E-4</v>
      </c>
      <c r="AG8" s="178">
        <f>AN8*Calculations!$C$47</f>
        <v>2.1234737040775852E-4</v>
      </c>
      <c r="AH8" s="178">
        <f>AO8*Calculations!$C$47</f>
        <v>1.5328953259039637E-4</v>
      </c>
      <c r="AI8" s="178">
        <f>AP8*Calculations!$C$47</f>
        <v>1.5085134271430656E-4</v>
      </c>
      <c r="AJ8" s="178">
        <f>AQ8*Calculations!$C$47</f>
        <v>1.5078423976897133E-4</v>
      </c>
      <c r="AM8" s="287" t="s">
        <v>588</v>
      </c>
      <c r="AN8" s="178">
        <f>D111</f>
        <v>2.4366661462789997E-4</v>
      </c>
      <c r="AO8" s="178">
        <f>D119</f>
        <v>1.7589829999999998E-4</v>
      </c>
      <c r="AP8" s="178">
        <f>D127</f>
        <v>1.7310049999999999E-4</v>
      </c>
      <c r="AQ8" s="178">
        <f>D135</f>
        <v>1.7302349999999999E-4</v>
      </c>
    </row>
    <row r="9" spans="1:44" x14ac:dyDescent="0.25">
      <c r="B9" s="123" t="s">
        <v>557</v>
      </c>
      <c r="C9" s="11" t="s">
        <v>558</v>
      </c>
      <c r="D9" s="15">
        <f t="shared" si="1"/>
        <v>4.6350000000054402E-5</v>
      </c>
      <c r="E9" s="178">
        <v>0</v>
      </c>
      <c r="F9" s="178">
        <v>4.3000000000000002E-5</v>
      </c>
      <c r="G9" s="178">
        <v>5.44E-17</v>
      </c>
      <c r="H9" s="178">
        <v>3.3500000000000001E-6</v>
      </c>
      <c r="L9" s="123" t="s">
        <v>557</v>
      </c>
      <c r="M9" s="11" t="s">
        <v>29</v>
      </c>
      <c r="N9" s="180">
        <f t="shared" si="2"/>
        <v>0</v>
      </c>
      <c r="O9" s="180">
        <f t="shared" si="0"/>
        <v>0.92772384034411071</v>
      </c>
      <c r="P9" s="180">
        <f t="shared" si="0"/>
        <v>1.1736785329004564E-12</v>
      </c>
      <c r="Q9" s="180">
        <f t="shared" si="0"/>
        <v>7.2276159654715608E-2</v>
      </c>
      <c r="T9" s="181"/>
      <c r="AE9" s="287"/>
      <c r="AF9" s="178">
        <f t="shared" ref="AF9:AI9" si="6">AF8-AG8</f>
        <v>8.9926537922414666E-6</v>
      </c>
      <c r="AG9" s="178">
        <f t="shared" si="6"/>
        <v>5.9057837817362146E-5</v>
      </c>
      <c r="AH9" s="178">
        <f t="shared" si="6"/>
        <v>2.4381898760898193E-6</v>
      </c>
      <c r="AI9" s="178">
        <f t="shared" si="6"/>
        <v>6.7102945335224037E-8</v>
      </c>
      <c r="AJ9" s="178">
        <f>AJ8-AK8</f>
        <v>1.5078423976897133E-4</v>
      </c>
      <c r="AM9" s="287"/>
      <c r="AN9" s="178">
        <f t="shared" ref="AN9:AP9" si="7">AN8-AO8</f>
        <v>6.7768314627899992E-5</v>
      </c>
      <c r="AO9" s="178">
        <f t="shared" si="7"/>
        <v>2.7977999999999955E-6</v>
      </c>
      <c r="AP9" s="178">
        <f t="shared" si="7"/>
        <v>7.6999999999992656E-8</v>
      </c>
      <c r="AQ9" s="178">
        <f>AQ8-AR8</f>
        <v>1.7302349999999999E-4</v>
      </c>
    </row>
    <row r="10" spans="1:44" ht="18" x14ac:dyDescent="0.25">
      <c r="B10" s="123" t="s">
        <v>559</v>
      </c>
      <c r="C10" s="11" t="s">
        <v>560</v>
      </c>
      <c r="D10" s="15">
        <f t="shared" si="1"/>
        <v>0.10343038700000001</v>
      </c>
      <c r="E10" s="178">
        <v>0</v>
      </c>
      <c r="F10" s="178">
        <v>9.5100000000000004E-2</v>
      </c>
      <c r="G10" s="178">
        <v>3.8700000000000001E-7</v>
      </c>
      <c r="H10" s="178">
        <v>8.3300000000000006E-3</v>
      </c>
      <c r="L10" s="123" t="s">
        <v>559</v>
      </c>
      <c r="M10" s="11" t="s">
        <v>29</v>
      </c>
      <c r="N10" s="180">
        <f t="shared" si="2"/>
        <v>0</v>
      </c>
      <c r="O10" s="180">
        <f t="shared" si="0"/>
        <v>0.91945899806021214</v>
      </c>
      <c r="P10" s="180">
        <f t="shared" si="0"/>
        <v>3.7416470268065414E-6</v>
      </c>
      <c r="Q10" s="180">
        <f t="shared" si="0"/>
        <v>8.0537260292760968E-2</v>
      </c>
      <c r="T10" s="181"/>
      <c r="AE10" s="123" t="s">
        <v>597</v>
      </c>
      <c r="AF10" s="182">
        <f>AF9/$AF$8</f>
        <v>4.062823172060296E-2</v>
      </c>
      <c r="AG10" s="182">
        <f>AG9/$AF$8</f>
        <v>0.26681951459442438</v>
      </c>
      <c r="AH10" s="182">
        <f>AH9/$AF$8</f>
        <v>1.1015585115716361E-2</v>
      </c>
      <c r="AI10" s="182">
        <f>AI9/$AF$8</f>
        <v>3.0316679316249955E-4</v>
      </c>
      <c r="AJ10" s="182">
        <f>AJ9/$AF$8</f>
        <v>0.68123350177609376</v>
      </c>
      <c r="AK10" s="183">
        <f>SUM(AF10:AJ10)</f>
        <v>1</v>
      </c>
      <c r="AM10" s="123" t="s">
        <v>597</v>
      </c>
      <c r="AN10" s="174">
        <f>AN9/$AN$8</f>
        <v>0.27811899767798753</v>
      </c>
      <c r="AO10" s="174">
        <f t="shared" ref="AO10:AQ10" si="8">AO9/$AN$8</f>
        <v>1.148208179554051E-2</v>
      </c>
      <c r="AP10" s="174">
        <f t="shared" si="8"/>
        <v>3.160055394440405E-4</v>
      </c>
      <c r="AQ10" s="174">
        <f t="shared" si="8"/>
        <v>0.71008291498702791</v>
      </c>
      <c r="AR10" s="184">
        <f>SUM(AN10:AQ10)</f>
        <v>1</v>
      </c>
    </row>
    <row r="11" spans="1:44" x14ac:dyDescent="0.25">
      <c r="B11" s="123" t="s">
        <v>561</v>
      </c>
      <c r="C11" s="11" t="s">
        <v>562</v>
      </c>
      <c r="D11" s="15">
        <f t="shared" si="1"/>
        <v>23300.698</v>
      </c>
      <c r="E11" s="178">
        <v>0</v>
      </c>
      <c r="F11" s="178">
        <v>21700</v>
      </c>
      <c r="G11" s="178">
        <v>0.69799999999999995</v>
      </c>
      <c r="H11" s="178">
        <v>1600</v>
      </c>
      <c r="L11" s="123" t="s">
        <v>561</v>
      </c>
      <c r="M11" s="11" t="s">
        <v>29</v>
      </c>
      <c r="N11" s="180">
        <f t="shared" si="2"/>
        <v>0</v>
      </c>
      <c r="O11" s="180">
        <f t="shared" si="0"/>
        <v>0.93130257299588193</v>
      </c>
      <c r="P11" s="180">
        <f t="shared" si="0"/>
        <v>2.9956184145213159E-5</v>
      </c>
      <c r="Q11" s="180">
        <f t="shared" si="0"/>
        <v>6.8667470819972862E-2</v>
      </c>
      <c r="T11" s="181"/>
      <c r="AE11" s="286" t="s">
        <v>590</v>
      </c>
      <c r="AF11" s="178">
        <f>D104</f>
        <v>126.4000372</v>
      </c>
      <c r="AG11" s="178">
        <f>AN11*Calculations!$C$47</f>
        <v>116.04384723659766</v>
      </c>
      <c r="AH11" s="178">
        <f>AO11*Calculations!$C$47</f>
        <v>98.807342451558128</v>
      </c>
      <c r="AI11" s="178">
        <f>AP11*Calculations!$C$47</f>
        <v>98.455959717105173</v>
      </c>
      <c r="AJ11" s="178">
        <f>AQ11*Calculations!$C$47</f>
        <v>97.424588737073535</v>
      </c>
      <c r="AM11" s="286" t="s">
        <v>590</v>
      </c>
      <c r="AN11" s="15">
        <f>D112</f>
        <v>133.1592256134</v>
      </c>
      <c r="AO11" s="15">
        <f>D120</f>
        <v>113.38049814</v>
      </c>
      <c r="AP11" s="15">
        <f>D128</f>
        <v>112.97728975</v>
      </c>
      <c r="AQ11" s="15">
        <f>D136</f>
        <v>111.79380123</v>
      </c>
    </row>
    <row r="12" spans="1:44" x14ac:dyDescent="0.25">
      <c r="B12" s="123" t="s">
        <v>563</v>
      </c>
      <c r="C12" s="11" t="s">
        <v>564</v>
      </c>
      <c r="D12" s="15">
        <f t="shared" si="1"/>
        <v>13490.000147000001</v>
      </c>
      <c r="E12" s="178">
        <v>0</v>
      </c>
      <c r="F12" s="178">
        <v>12300</v>
      </c>
      <c r="G12" s="178">
        <v>1.47E-4</v>
      </c>
      <c r="H12" s="178">
        <v>1190</v>
      </c>
      <c r="L12" s="123" t="s">
        <v>563</v>
      </c>
      <c r="M12" s="11" t="s">
        <v>29</v>
      </c>
      <c r="N12" s="180">
        <f t="shared" si="2"/>
        <v>0</v>
      </c>
      <c r="O12" s="180">
        <f t="shared" si="0"/>
        <v>0.91178649858913152</v>
      </c>
      <c r="P12" s="180">
        <f t="shared" si="0"/>
        <v>1.0896960592894498E-8</v>
      </c>
      <c r="Q12" s="180">
        <f t="shared" si="0"/>
        <v>8.8213490513907852E-2</v>
      </c>
      <c r="T12" s="181"/>
      <c r="AE12" s="286"/>
      <c r="AF12" s="15">
        <f t="shared" ref="AF12:AI12" si="9">AF11-AG11</f>
        <v>10.356189963402343</v>
      </c>
      <c r="AG12" s="15">
        <f t="shared" si="9"/>
        <v>17.236504785039529</v>
      </c>
      <c r="AH12" s="15">
        <f t="shared" si="9"/>
        <v>0.35138273445295454</v>
      </c>
      <c r="AI12" s="15">
        <f t="shared" si="9"/>
        <v>1.0313709800316389</v>
      </c>
      <c r="AJ12" s="15">
        <f>AJ11-AK11</f>
        <v>97.424588737073535</v>
      </c>
      <c r="AM12" s="286"/>
      <c r="AN12" s="15">
        <f t="shared" ref="AN12:AP12" si="10">AN11-AO11</f>
        <v>19.778727473399996</v>
      </c>
      <c r="AO12" s="15">
        <f t="shared" si="10"/>
        <v>0.40320839000000319</v>
      </c>
      <c r="AP12" s="15">
        <f t="shared" si="10"/>
        <v>1.1834885199999974</v>
      </c>
      <c r="AQ12" s="15">
        <f>AQ11-AR11</f>
        <v>111.79380123</v>
      </c>
    </row>
    <row r="13" spans="1:44" ht="18" x14ac:dyDescent="0.25">
      <c r="B13" s="123" t="s">
        <v>565</v>
      </c>
      <c r="C13" s="11" t="s">
        <v>566</v>
      </c>
      <c r="D13" s="15">
        <f t="shared" si="1"/>
        <v>4.1100009499999999</v>
      </c>
      <c r="E13" s="178">
        <v>0</v>
      </c>
      <c r="F13" s="178">
        <v>3.95</v>
      </c>
      <c r="G13" s="178">
        <v>9.5000000000000001E-7</v>
      </c>
      <c r="H13" s="178">
        <v>0.16</v>
      </c>
      <c r="L13" s="123" t="s">
        <v>565</v>
      </c>
      <c r="M13" s="11" t="s">
        <v>29</v>
      </c>
      <c r="N13" s="180">
        <f t="shared" si="2"/>
        <v>0</v>
      </c>
      <c r="O13" s="180">
        <f t="shared" si="0"/>
        <v>0.96107033746549386</v>
      </c>
      <c r="P13" s="180">
        <f t="shared" si="0"/>
        <v>2.311434988841061E-7</v>
      </c>
      <c r="Q13" s="180">
        <f t="shared" si="0"/>
        <v>3.8929431391007345E-2</v>
      </c>
      <c r="T13" s="181"/>
      <c r="AE13" s="123" t="s">
        <v>597</v>
      </c>
      <c r="AF13" s="182">
        <f>AF12/$AF$11</f>
        <v>8.1931858508996883E-2</v>
      </c>
      <c r="AG13" s="182">
        <f>AG12/$AF$11</f>
        <v>0.13636471291354596</v>
      </c>
      <c r="AH13" s="182">
        <f>AH12/$AF$11</f>
        <v>2.7799258784787333E-3</v>
      </c>
      <c r="AI13" s="182">
        <f>AI12/$AF$11</f>
        <v>8.159578136830159E-3</v>
      </c>
      <c r="AJ13" s="182">
        <f>AJ12/$AF$11</f>
        <v>0.77076392456214826</v>
      </c>
      <c r="AK13" s="183">
        <f>SUM(AF13:AJ13)</f>
        <v>1</v>
      </c>
      <c r="AM13" s="123" t="s">
        <v>597</v>
      </c>
      <c r="AN13" s="174">
        <f>AN12/$AN$11</f>
        <v>0.14853441346094487</v>
      </c>
      <c r="AO13" s="174">
        <f t="shared" ref="AO13:AQ13" si="11">AO12/$AN$11</f>
        <v>3.0280169334315188E-3</v>
      </c>
      <c r="AP13" s="174">
        <f t="shared" si="11"/>
        <v>8.8877696197784233E-3</v>
      </c>
      <c r="AQ13" s="174">
        <f t="shared" si="11"/>
        <v>0.83954979998584522</v>
      </c>
      <c r="AR13" s="184">
        <f>SUM(AN13:AQ13)</f>
        <v>1</v>
      </c>
    </row>
    <row r="14" spans="1:44" x14ac:dyDescent="0.25">
      <c r="B14" s="123" t="s">
        <v>567</v>
      </c>
      <c r="C14" s="11" t="s">
        <v>568</v>
      </c>
      <c r="D14" s="15">
        <f t="shared" si="1"/>
        <v>13.362</v>
      </c>
      <c r="E14" s="178">
        <v>0</v>
      </c>
      <c r="F14" s="178">
        <v>12.7</v>
      </c>
      <c r="G14" s="178">
        <v>0</v>
      </c>
      <c r="H14" s="178">
        <v>0.66200000000000003</v>
      </c>
      <c r="L14" s="123" t="s">
        <v>567</v>
      </c>
      <c r="M14" s="11" t="s">
        <v>29</v>
      </c>
      <c r="N14" s="180">
        <f t="shared" si="2"/>
        <v>0</v>
      </c>
      <c r="O14" s="180">
        <f t="shared" si="0"/>
        <v>0.95045651848525659</v>
      </c>
      <c r="P14" s="180">
        <f t="shared" si="0"/>
        <v>0</v>
      </c>
      <c r="Q14" s="180">
        <f t="shared" si="0"/>
        <v>4.9543481514743304E-2</v>
      </c>
      <c r="T14" s="181"/>
      <c r="AE14" s="287" t="s">
        <v>593</v>
      </c>
      <c r="AF14" s="178">
        <f>D106</f>
        <v>5049.1499999999996</v>
      </c>
      <c r="AG14" s="178">
        <f>AN14*Calculations!$C$47</f>
        <v>4745.658780216404</v>
      </c>
      <c r="AH14" s="178">
        <f>AO14*Calculations!$C$47</f>
        <v>4114.6879262074626</v>
      </c>
      <c r="AI14" s="178">
        <f>AP14*Calculations!$C$47</f>
        <v>4063.2348062980996</v>
      </c>
      <c r="AJ14" s="178">
        <f>AQ14*Calculations!$C$47</f>
        <v>3901.1192282751208</v>
      </c>
      <c r="AM14" s="287" t="s">
        <v>593</v>
      </c>
      <c r="AN14" s="15">
        <f>D114</f>
        <v>5445.5989115099992</v>
      </c>
      <c r="AO14" s="15">
        <f>D122</f>
        <v>4721.5657782999997</v>
      </c>
      <c r="AP14" s="15">
        <f>D130</f>
        <v>4662.5238061</v>
      </c>
      <c r="AQ14" s="15">
        <f>D138</f>
        <v>4476.4977018</v>
      </c>
    </row>
    <row r="15" spans="1:44" ht="18" x14ac:dyDescent="0.25">
      <c r="B15" s="123" t="s">
        <v>569</v>
      </c>
      <c r="C15" s="11" t="s">
        <v>566</v>
      </c>
      <c r="D15" s="15">
        <f t="shared" si="1"/>
        <v>1.3346033900000001</v>
      </c>
      <c r="E15" s="178">
        <v>0</v>
      </c>
      <c r="F15" s="178">
        <v>1.29</v>
      </c>
      <c r="G15" s="178">
        <v>3.3900000000000002E-6</v>
      </c>
      <c r="H15" s="178">
        <v>4.4600000000000001E-2</v>
      </c>
      <c r="L15" s="123" t="s">
        <v>569</v>
      </c>
      <c r="M15" s="11" t="s">
        <v>29</v>
      </c>
      <c r="N15" s="180">
        <f t="shared" si="2"/>
        <v>0</v>
      </c>
      <c r="O15" s="180">
        <f t="shared" si="0"/>
        <v>0.96657929214461236</v>
      </c>
      <c r="P15" s="180">
        <f t="shared" si="0"/>
        <v>2.5400804654032836E-6</v>
      </c>
      <c r="Q15" s="180">
        <f t="shared" si="0"/>
        <v>3.3418167774922257E-2</v>
      </c>
      <c r="T15" s="181"/>
      <c r="AE15" s="287"/>
      <c r="AF15" s="15">
        <f t="shared" ref="AF15:AI15" si="12">AF14-AG14</f>
        <v>303.49121978359562</v>
      </c>
      <c r="AG15" s="15">
        <f t="shared" si="12"/>
        <v>630.97085400894139</v>
      </c>
      <c r="AH15" s="15">
        <f t="shared" si="12"/>
        <v>51.453119909363068</v>
      </c>
      <c r="AI15" s="15">
        <f t="shared" si="12"/>
        <v>162.11557802297875</v>
      </c>
      <c r="AJ15" s="15">
        <f>AJ14-AK14</f>
        <v>3901.1192282751208</v>
      </c>
      <c r="AM15" s="287"/>
      <c r="AN15" s="15">
        <f t="shared" ref="AN15:AP15" si="13">AN14-AO14</f>
        <v>724.03313320999951</v>
      </c>
      <c r="AO15" s="15">
        <f t="shared" si="13"/>
        <v>59.041972199999691</v>
      </c>
      <c r="AP15" s="15">
        <f t="shared" si="13"/>
        <v>186.02610430000004</v>
      </c>
      <c r="AQ15" s="15">
        <f>AQ14-AR14</f>
        <v>4476.4977018</v>
      </c>
    </row>
    <row r="16" spans="1:44" ht="18" x14ac:dyDescent="0.25">
      <c r="B16" s="123" t="s">
        <v>570</v>
      </c>
      <c r="C16" s="11" t="s">
        <v>571</v>
      </c>
      <c r="D16" s="15">
        <f t="shared" si="1"/>
        <v>0.10822</v>
      </c>
      <c r="E16" s="178">
        <v>0</v>
      </c>
      <c r="F16" s="178">
        <v>0.106</v>
      </c>
      <c r="G16" s="178">
        <v>0</v>
      </c>
      <c r="H16" s="178">
        <v>2.2200000000000002E-3</v>
      </c>
      <c r="L16" s="123" t="s">
        <v>570</v>
      </c>
      <c r="M16" s="11" t="s">
        <v>29</v>
      </c>
      <c r="N16" s="180">
        <f t="shared" si="2"/>
        <v>0</v>
      </c>
      <c r="O16" s="180">
        <f t="shared" si="0"/>
        <v>0.9794862317501386</v>
      </c>
      <c r="P16" s="180">
        <f t="shared" si="0"/>
        <v>0</v>
      </c>
      <c r="Q16" s="180">
        <f t="shared" si="0"/>
        <v>2.0513768249861397E-2</v>
      </c>
      <c r="T16" s="181"/>
      <c r="AE16" s="123" t="s">
        <v>597</v>
      </c>
      <c r="AF16" s="182">
        <f>AF15/$AF$14</f>
        <v>6.0107388329440729E-2</v>
      </c>
      <c r="AG16" s="182">
        <f>AG15/$AF$14</f>
        <v>0.12496575740648257</v>
      </c>
      <c r="AH16" s="182">
        <f>AH15/$AF$14</f>
        <v>1.0190451840282637E-2</v>
      </c>
      <c r="AI16" s="182">
        <f>AI15/$AF$14</f>
        <v>3.2107498890502115E-2</v>
      </c>
      <c r="AJ16" s="182">
        <f>AJ15/$AF$14</f>
        <v>0.77262890353329194</v>
      </c>
      <c r="AK16" s="183">
        <f>SUM(AF16:AJ16)</f>
        <v>1</v>
      </c>
      <c r="AM16" s="123" t="s">
        <v>597</v>
      </c>
      <c r="AN16" s="174">
        <f>AN15/$AN$14</f>
        <v>0.13295748456237916</v>
      </c>
      <c r="AO16" s="174">
        <f t="shared" ref="AO16:AQ16" si="14">AO15/$AN$14</f>
        <v>1.0842144851176353E-2</v>
      </c>
      <c r="AP16" s="174">
        <f t="shared" si="14"/>
        <v>3.4160816344150698E-2</v>
      </c>
      <c r="AQ16" s="174">
        <f t="shared" si="14"/>
        <v>0.8220395542422938</v>
      </c>
      <c r="AR16" s="184">
        <f>SUM(AN16:AQ16)</f>
        <v>1</v>
      </c>
    </row>
    <row r="17" spans="2:45" ht="18" x14ac:dyDescent="0.25">
      <c r="B17" s="171" t="s">
        <v>572</v>
      </c>
      <c r="C17" s="161" t="s">
        <v>573</v>
      </c>
      <c r="D17" s="185">
        <f>SUM(E17:J17)</f>
        <v>300.10000002370003</v>
      </c>
      <c r="E17" s="186">
        <v>0</v>
      </c>
      <c r="F17" s="186">
        <v>282</v>
      </c>
      <c r="G17" s="186">
        <v>2.37E-8</v>
      </c>
      <c r="H17" s="186">
        <v>18.100000000000001</v>
      </c>
      <c r="L17" s="187" t="s">
        <v>572</v>
      </c>
      <c r="M17" s="153" t="s">
        <v>29</v>
      </c>
      <c r="N17" s="188">
        <f t="shared" si="2"/>
        <v>0</v>
      </c>
      <c r="O17" s="188">
        <f t="shared" si="0"/>
        <v>0.9396867710020973</v>
      </c>
      <c r="P17" s="188">
        <f t="shared" si="0"/>
        <v>7.8973675435282648E-11</v>
      </c>
      <c r="Q17" s="188">
        <f t="shared" si="0"/>
        <v>6.0313228918928943E-2</v>
      </c>
      <c r="T17" s="181"/>
    </row>
    <row r="18" spans="2:45" x14ac:dyDescent="0.25">
      <c r="B18" s="123" t="s">
        <v>574</v>
      </c>
      <c r="C18" s="11" t="s">
        <v>575</v>
      </c>
      <c r="D18" s="15">
        <f t="shared" si="1"/>
        <v>5038.03</v>
      </c>
      <c r="E18" s="178">
        <v>0</v>
      </c>
      <c r="F18" s="178">
        <v>4740</v>
      </c>
      <c r="G18" s="178">
        <v>2.0299999999999998</v>
      </c>
      <c r="H18" s="178">
        <v>296</v>
      </c>
      <c r="L18" s="123" t="s">
        <v>574</v>
      </c>
      <c r="M18" s="11" t="s">
        <v>29</v>
      </c>
      <c r="N18" s="180">
        <f t="shared" si="2"/>
        <v>0</v>
      </c>
      <c r="O18" s="180">
        <f t="shared" si="0"/>
        <v>0.94084394098486912</v>
      </c>
      <c r="P18" s="180">
        <f t="shared" si="0"/>
        <v>4.0293527430364646E-4</v>
      </c>
      <c r="Q18" s="180">
        <f t="shared" si="0"/>
        <v>5.8753123740827272E-2</v>
      </c>
      <c r="T18" s="181"/>
    </row>
    <row r="19" spans="2:45" x14ac:dyDescent="0.25">
      <c r="B19" s="123" t="s">
        <v>576</v>
      </c>
      <c r="C19" s="11" t="s">
        <v>577</v>
      </c>
      <c r="D19" s="15">
        <f t="shared" si="1"/>
        <v>9.8469999999999978</v>
      </c>
      <c r="E19" s="178">
        <v>0</v>
      </c>
      <c r="F19" s="178">
        <v>9.36</v>
      </c>
      <c r="G19" s="178">
        <v>0.12</v>
      </c>
      <c r="H19" s="178">
        <v>0.36699999999999999</v>
      </c>
      <c r="L19" s="123" t="s">
        <v>576</v>
      </c>
      <c r="M19" s="11" t="s">
        <v>29</v>
      </c>
      <c r="N19" s="180">
        <f t="shared" si="2"/>
        <v>0</v>
      </c>
      <c r="O19" s="180">
        <f t="shared" si="0"/>
        <v>0.95054331268406633</v>
      </c>
      <c r="P19" s="180">
        <f t="shared" si="0"/>
        <v>1.21864527267188E-2</v>
      </c>
      <c r="Q19" s="180">
        <f t="shared" si="0"/>
        <v>3.7270234589214996E-2</v>
      </c>
      <c r="T19" s="181"/>
    </row>
    <row r="20" spans="2:45" x14ac:dyDescent="0.25">
      <c r="I20" s="194"/>
      <c r="J20" s="194"/>
    </row>
    <row r="21" spans="2:45" ht="17.25" x14ac:dyDescent="0.25">
      <c r="B21" s="282" t="s">
        <v>642</v>
      </c>
      <c r="C21" s="282"/>
      <c r="D21" s="282"/>
      <c r="E21" s="282"/>
      <c r="F21" s="282"/>
      <c r="G21" s="282"/>
      <c r="H21" s="282"/>
      <c r="I21" s="282"/>
      <c r="J21" s="282"/>
      <c r="K21" s="282"/>
      <c r="L21" s="282"/>
      <c r="M21" s="282"/>
      <c r="N21" s="282"/>
      <c r="O21" s="282"/>
      <c r="P21" s="282"/>
      <c r="Q21" s="282"/>
      <c r="R21" s="282"/>
      <c r="S21" s="282"/>
      <c r="T21" s="282"/>
      <c r="U21" s="282"/>
      <c r="V21" s="282"/>
      <c r="W21" s="282"/>
      <c r="X21" s="282"/>
      <c r="Y21" s="282"/>
    </row>
    <row r="23" spans="2:45" ht="30.95" customHeight="1" x14ac:dyDescent="0.25">
      <c r="B23" s="162" t="s">
        <v>547</v>
      </c>
      <c r="C23" s="162" t="s">
        <v>337</v>
      </c>
      <c r="D23" s="162" t="s">
        <v>213</v>
      </c>
      <c r="E23" s="162" t="s">
        <v>578</v>
      </c>
      <c r="F23" s="162" t="s">
        <v>218</v>
      </c>
      <c r="G23" s="162" t="s">
        <v>579</v>
      </c>
      <c r="H23" s="162" t="s">
        <v>316</v>
      </c>
      <c r="I23" s="162" t="s">
        <v>580</v>
      </c>
      <c r="J23" s="162" t="s">
        <v>581</v>
      </c>
      <c r="L23" s="122" t="s">
        <v>547</v>
      </c>
      <c r="M23" s="122" t="s">
        <v>337</v>
      </c>
      <c r="N23" s="162" t="s">
        <v>578</v>
      </c>
      <c r="O23" s="162" t="s">
        <v>218</v>
      </c>
      <c r="P23" s="162" t="s">
        <v>579</v>
      </c>
      <c r="Q23" s="162" t="s">
        <v>316</v>
      </c>
      <c r="R23" s="162" t="s">
        <v>580</v>
      </c>
      <c r="S23" s="162" t="s">
        <v>581</v>
      </c>
    </row>
    <row r="24" spans="2:45" ht="18" x14ac:dyDescent="0.25">
      <c r="B24" s="123" t="s">
        <v>550</v>
      </c>
      <c r="C24" s="11" t="s">
        <v>551</v>
      </c>
      <c r="D24" s="15">
        <f>SUM(E24:J24)</f>
        <v>4.3903268846300003</v>
      </c>
      <c r="E24" s="178">
        <f>D43</f>
        <v>3.4939760800000004</v>
      </c>
      <c r="F24" s="178">
        <v>0.87846139999999995</v>
      </c>
      <c r="G24" s="178">
        <v>0</v>
      </c>
      <c r="H24" s="178">
        <v>1.4629999999999999E-8</v>
      </c>
      <c r="I24" s="178">
        <v>1.3694E-4</v>
      </c>
      <c r="J24" s="178">
        <v>1.7752449999999999E-2</v>
      </c>
      <c r="L24" s="123" t="s">
        <v>550</v>
      </c>
      <c r="M24" s="11" t="s">
        <v>29</v>
      </c>
      <c r="N24" s="180">
        <f>E24/$D24</f>
        <v>0.79583506463538856</v>
      </c>
      <c r="O24" s="180">
        <f t="shared" ref="O24:S38" si="15">F24/$D24</f>
        <v>0.2000902035507621</v>
      </c>
      <c r="P24" s="180">
        <f t="shared" si="15"/>
        <v>0</v>
      </c>
      <c r="Q24" s="180">
        <f t="shared" si="15"/>
        <v>3.3323259029339812E-9</v>
      </c>
      <c r="R24" s="180">
        <f t="shared" si="15"/>
        <v>3.1191299326574127E-5</v>
      </c>
      <c r="S24" s="180">
        <f t="shared" si="15"/>
        <v>4.0435371821968807E-3</v>
      </c>
      <c r="T24" s="181"/>
    </row>
    <row r="25" spans="2:45" ht="18" x14ac:dyDescent="0.25">
      <c r="B25" s="123" t="s">
        <v>552</v>
      </c>
      <c r="C25" s="11" t="s">
        <v>551</v>
      </c>
      <c r="D25" s="15">
        <f t="shared" ref="D25:D38" si="16">SUM(E25:J25)</f>
        <v>8.20549065332</v>
      </c>
      <c r="E25" s="178">
        <f t="shared" ref="E25:E38" si="17">D44</f>
        <v>4.2726348900000009</v>
      </c>
      <c r="F25" s="178">
        <v>3.9256016200000001</v>
      </c>
      <c r="G25" s="178">
        <v>0</v>
      </c>
      <c r="H25" s="178">
        <v>3.1332E-7</v>
      </c>
      <c r="I25" s="178">
        <v>5.5433000000000001E-4</v>
      </c>
      <c r="J25" s="178">
        <v>6.6994999999999997E-3</v>
      </c>
      <c r="L25" s="123" t="s">
        <v>552</v>
      </c>
      <c r="M25" s="11" t="s">
        <v>29</v>
      </c>
      <c r="N25" s="180">
        <f t="shared" ref="N25:N38" si="18">E25/$D25</f>
        <v>0.52070437594993324</v>
      </c>
      <c r="O25" s="180">
        <f t="shared" si="15"/>
        <v>0.4784115643848395</v>
      </c>
      <c r="P25" s="180">
        <f t="shared" si="15"/>
        <v>0</v>
      </c>
      <c r="Q25" s="180">
        <f t="shared" si="15"/>
        <v>3.8184188275594279E-8</v>
      </c>
      <c r="R25" s="180">
        <f t="shared" si="15"/>
        <v>6.7555984574269688E-5</v>
      </c>
      <c r="S25" s="180">
        <f t="shared" si="15"/>
        <v>8.1646549646477678E-4</v>
      </c>
      <c r="T25" s="181"/>
      <c r="AS25" s="128" t="s">
        <v>572</v>
      </c>
    </row>
    <row r="26" spans="2:45" x14ac:dyDescent="0.25">
      <c r="B26" s="123" t="s">
        <v>553</v>
      </c>
      <c r="C26" s="11" t="s">
        <v>554</v>
      </c>
      <c r="D26" s="15">
        <f t="shared" si="16"/>
        <v>0.29544626421150005</v>
      </c>
      <c r="E26" s="178">
        <f t="shared" si="17"/>
        <v>0.21813211000000002</v>
      </c>
      <c r="F26" s="178">
        <v>7.4588920000000003E-2</v>
      </c>
      <c r="G26" s="178">
        <v>1.9337E-4</v>
      </c>
      <c r="H26" s="178">
        <v>4.2115000000000002E-9</v>
      </c>
      <c r="I26" s="178">
        <v>1.0337199999999999E-3</v>
      </c>
      <c r="J26" s="178">
        <v>1.49814E-3</v>
      </c>
      <c r="L26" s="123" t="s">
        <v>553</v>
      </c>
      <c r="M26" s="11" t="s">
        <v>29</v>
      </c>
      <c r="N26" s="180">
        <f t="shared" si="18"/>
        <v>0.73831398945646021</v>
      </c>
      <c r="O26" s="180">
        <f t="shared" si="15"/>
        <v>0.25246188236316403</v>
      </c>
      <c r="P26" s="180">
        <f t="shared" si="15"/>
        <v>6.545014218273307E-4</v>
      </c>
      <c r="Q26" s="180">
        <f t="shared" si="15"/>
        <v>1.4254707234968214E-8</v>
      </c>
      <c r="R26" s="180">
        <f t="shared" si="15"/>
        <v>3.4988426838255585E-3</v>
      </c>
      <c r="S26" s="180">
        <f t="shared" si="15"/>
        <v>5.0707698200155001E-3</v>
      </c>
      <c r="T26" s="181"/>
      <c r="AS26" s="128" t="s">
        <v>588</v>
      </c>
    </row>
    <row r="27" spans="2:45" x14ac:dyDescent="0.25">
      <c r="B27" s="123" t="s">
        <v>555</v>
      </c>
      <c r="C27" s="11" t="s">
        <v>556</v>
      </c>
      <c r="D27" s="15">
        <f t="shared" si="16"/>
        <v>8788.7712546499988</v>
      </c>
      <c r="E27" s="178">
        <f t="shared" si="17"/>
        <v>8355.5023258999991</v>
      </c>
      <c r="F27" s="178">
        <v>378.77173499999998</v>
      </c>
      <c r="G27" s="178">
        <v>0</v>
      </c>
      <c r="H27" s="178">
        <v>2.87587E-3</v>
      </c>
      <c r="I27" s="178">
        <v>0.99299488000000002</v>
      </c>
      <c r="J27" s="178">
        <v>53.501322999999999</v>
      </c>
      <c r="L27" s="123" t="s">
        <v>555</v>
      </c>
      <c r="M27" s="11" t="s">
        <v>29</v>
      </c>
      <c r="N27" s="180">
        <f t="shared" si="18"/>
        <v>0.95070199050626514</v>
      </c>
      <c r="O27" s="180">
        <f t="shared" si="15"/>
        <v>4.3097234417108977E-2</v>
      </c>
      <c r="P27" s="180">
        <f t="shared" si="15"/>
        <v>0</v>
      </c>
      <c r="Q27" s="180">
        <f t="shared" si="15"/>
        <v>3.2722094097948255E-7</v>
      </c>
      <c r="R27" s="180">
        <f t="shared" si="15"/>
        <v>1.1298449478641537E-4</v>
      </c>
      <c r="S27" s="180">
        <f t="shared" si="15"/>
        <v>6.0874633608985216E-3</v>
      </c>
      <c r="T27" s="181"/>
      <c r="AS27" s="128" t="s">
        <v>590</v>
      </c>
    </row>
    <row r="28" spans="2:45" x14ac:dyDescent="0.25">
      <c r="B28" s="123" t="s">
        <v>557</v>
      </c>
      <c r="C28" s="11" t="s">
        <v>558</v>
      </c>
      <c r="D28" s="15">
        <f t="shared" si="16"/>
        <v>4.93563152000104E-5</v>
      </c>
      <c r="E28" s="178">
        <f t="shared" si="17"/>
        <v>4.4513259999999997E-5</v>
      </c>
      <c r="F28" s="178">
        <v>4.6820999999999996E-6</v>
      </c>
      <c r="G28" s="178">
        <v>0</v>
      </c>
      <c r="H28" s="178">
        <v>1.0402999999999999E-17</v>
      </c>
      <c r="I28" s="178">
        <v>2.2652E-9</v>
      </c>
      <c r="J28" s="178">
        <v>1.5869E-7</v>
      </c>
      <c r="L28" s="123" t="s">
        <v>557</v>
      </c>
      <c r="M28" s="11" t="s">
        <v>29</v>
      </c>
      <c r="N28" s="180">
        <f t="shared" si="18"/>
        <v>0.90187567324698947</v>
      </c>
      <c r="O28" s="180">
        <f t="shared" si="15"/>
        <v>9.4863240520009745E-2</v>
      </c>
      <c r="P28" s="180">
        <f t="shared" si="15"/>
        <v>0</v>
      </c>
      <c r="Q28" s="180">
        <f t="shared" si="15"/>
        <v>2.1077343310259529E-13</v>
      </c>
      <c r="R28" s="180">
        <f t="shared" si="15"/>
        <v>4.5894836168797354E-5</v>
      </c>
      <c r="S28" s="180">
        <f t="shared" si="15"/>
        <v>3.2151913966212485E-3</v>
      </c>
      <c r="T28" s="181"/>
      <c r="AS28" s="128" t="s">
        <v>593</v>
      </c>
    </row>
    <row r="29" spans="2:45" ht="18" x14ac:dyDescent="0.25">
      <c r="B29" s="123" t="s">
        <v>559</v>
      </c>
      <c r="C29" s="11" t="s">
        <v>560</v>
      </c>
      <c r="D29" s="15">
        <f t="shared" si="16"/>
        <v>0.10915912403400001</v>
      </c>
      <c r="E29" s="178">
        <f t="shared" si="17"/>
        <v>9.5037280000000002E-2</v>
      </c>
      <c r="F29" s="178">
        <v>1.102714E-2</v>
      </c>
      <c r="G29" s="178">
        <v>8.8540000000000005E-4</v>
      </c>
      <c r="H29" s="178">
        <v>7.4034E-8</v>
      </c>
      <c r="I29" s="178">
        <v>2.07245E-3</v>
      </c>
      <c r="J29" s="178">
        <v>1.3678E-4</v>
      </c>
      <c r="L29" s="123" t="s">
        <v>559</v>
      </c>
      <c r="M29" s="11" t="s">
        <v>29</v>
      </c>
      <c r="N29" s="180">
        <f t="shared" si="18"/>
        <v>0.87063065814268126</v>
      </c>
      <c r="O29" s="180">
        <f t="shared" si="15"/>
        <v>0.10101894914954937</v>
      </c>
      <c r="P29" s="180">
        <f t="shared" si="15"/>
        <v>8.1110947695423319E-3</v>
      </c>
      <c r="Q29" s="180">
        <f t="shared" si="15"/>
        <v>6.7822090599536583E-7</v>
      </c>
      <c r="R29" s="180">
        <f t="shared" si="15"/>
        <v>1.898558657684437E-2</v>
      </c>
      <c r="S29" s="180">
        <f t="shared" si="15"/>
        <v>1.2530331404766208E-3</v>
      </c>
      <c r="T29" s="181"/>
    </row>
    <row r="30" spans="2:45" x14ac:dyDescent="0.25">
      <c r="B30" s="123" t="s">
        <v>561</v>
      </c>
      <c r="C30" s="11" t="s">
        <v>562</v>
      </c>
      <c r="D30" s="15">
        <f t="shared" si="16"/>
        <v>24843.3419006392</v>
      </c>
      <c r="E30" s="178">
        <f t="shared" si="17"/>
        <v>20561.136864</v>
      </c>
      <c r="F30" s="178">
        <v>4219.3481300000003</v>
      </c>
      <c r="G30" s="178">
        <v>1.6391999999999999E-6</v>
      </c>
      <c r="H30" s="178">
        <v>0.13349721000000001</v>
      </c>
      <c r="I30" s="178">
        <v>0.57000578999999996</v>
      </c>
      <c r="J30" s="178">
        <v>62.153402</v>
      </c>
      <c r="L30" s="123" t="s">
        <v>561</v>
      </c>
      <c r="M30" s="11" t="s">
        <v>29</v>
      </c>
      <c r="N30" s="180">
        <f t="shared" si="18"/>
        <v>0.82763168281602961</v>
      </c>
      <c r="O30" s="180">
        <f t="shared" si="15"/>
        <v>0.16983818629857683</v>
      </c>
      <c r="P30" s="180">
        <f t="shared" si="15"/>
        <v>6.5981461212262453E-11</v>
      </c>
      <c r="Q30" s="180">
        <f t="shared" si="15"/>
        <v>5.3735608733286093E-6</v>
      </c>
      <c r="R30" s="180">
        <f t="shared" si="15"/>
        <v>2.2944006175969996E-5</v>
      </c>
      <c r="S30" s="180">
        <f t="shared" si="15"/>
        <v>2.5018132523628328E-3</v>
      </c>
      <c r="T30" s="181"/>
    </row>
    <row r="31" spans="2:45" x14ac:dyDescent="0.25">
      <c r="B31" s="123" t="s">
        <v>563</v>
      </c>
      <c r="C31" s="11" t="s">
        <v>564</v>
      </c>
      <c r="D31" s="15">
        <f t="shared" si="16"/>
        <v>14109.384438131798</v>
      </c>
      <c r="E31" s="178">
        <f t="shared" si="17"/>
        <v>12740.871373099999</v>
      </c>
      <c r="F31" s="178">
        <v>1352.92813</v>
      </c>
      <c r="G31" s="178">
        <v>6.4938000000000004E-6</v>
      </c>
      <c r="H31" s="178">
        <v>2.8178E-5</v>
      </c>
      <c r="I31" s="178">
        <v>0.72918685999999999</v>
      </c>
      <c r="J31" s="178">
        <v>14.8557135</v>
      </c>
      <c r="L31" s="123" t="s">
        <v>563</v>
      </c>
      <c r="M31" s="11" t="s">
        <v>29</v>
      </c>
      <c r="N31" s="180">
        <f t="shared" si="18"/>
        <v>0.90300689083690444</v>
      </c>
      <c r="O31" s="180">
        <f t="shared" si="15"/>
        <v>9.5888529788982005E-2</v>
      </c>
      <c r="P31" s="180">
        <f t="shared" si="15"/>
        <v>4.6024686820850666E-10</v>
      </c>
      <c r="Q31" s="180">
        <f t="shared" si="15"/>
        <v>1.9971105134712034E-9</v>
      </c>
      <c r="R31" s="180">
        <f t="shared" si="15"/>
        <v>5.1680983192244104E-5</v>
      </c>
      <c r="S31" s="180">
        <f t="shared" si="15"/>
        <v>1.0528959335639892E-3</v>
      </c>
      <c r="T31" s="181"/>
    </row>
    <row r="32" spans="2:45" ht="18.75" thickBot="1" x14ac:dyDescent="0.3">
      <c r="B32" s="123" t="s">
        <v>565</v>
      </c>
      <c r="C32" s="11" t="s">
        <v>566</v>
      </c>
      <c r="D32" s="15">
        <f t="shared" si="16"/>
        <v>4.5298305316700009</v>
      </c>
      <c r="E32" s="178">
        <f t="shared" si="17"/>
        <v>3.3515095399999999</v>
      </c>
      <c r="F32" s="178">
        <v>1.1252619100000001</v>
      </c>
      <c r="G32" s="178">
        <v>2.47912E-3</v>
      </c>
      <c r="H32" s="178">
        <v>1.8167000000000001E-7</v>
      </c>
      <c r="I32" s="178">
        <v>2.7223299999999999E-2</v>
      </c>
      <c r="J32" s="178">
        <v>2.3356479999999999E-2</v>
      </c>
      <c r="L32" s="123" t="s">
        <v>565</v>
      </c>
      <c r="M32" s="11" t="s">
        <v>29</v>
      </c>
      <c r="N32" s="180">
        <f t="shared" si="18"/>
        <v>0.73987525947563593</v>
      </c>
      <c r="O32" s="180">
        <f t="shared" si="15"/>
        <v>0.24841148076794667</v>
      </c>
      <c r="P32" s="180">
        <f t="shared" si="15"/>
        <v>5.472875823206634E-4</v>
      </c>
      <c r="Q32" s="180">
        <f t="shared" si="15"/>
        <v>4.010525310601944E-8</v>
      </c>
      <c r="R32" s="180">
        <f t="shared" si="15"/>
        <v>6.0097833262569436E-3</v>
      </c>
      <c r="S32" s="180">
        <f t="shared" si="15"/>
        <v>5.1561487425864526E-3</v>
      </c>
      <c r="T32" s="181"/>
    </row>
    <row r="33" spans="2:43" ht="18" thickBot="1" x14ac:dyDescent="0.3">
      <c r="B33" s="123" t="s">
        <v>567</v>
      </c>
      <c r="C33" s="11" t="s">
        <v>568</v>
      </c>
      <c r="D33" s="15">
        <f t="shared" si="16"/>
        <v>14.626125950000002</v>
      </c>
      <c r="E33" s="178">
        <f t="shared" si="17"/>
        <v>7.7331271599999996</v>
      </c>
      <c r="F33" s="178">
        <v>6.8756502800000003</v>
      </c>
      <c r="G33" s="178">
        <v>0</v>
      </c>
      <c r="H33" s="178">
        <v>0</v>
      </c>
      <c r="I33" s="178">
        <v>1.0483000000000001E-3</v>
      </c>
      <c r="J33" s="178">
        <v>1.6300209999999999E-2</v>
      </c>
      <c r="L33" s="123" t="s">
        <v>567</v>
      </c>
      <c r="M33" s="11" t="s">
        <v>29</v>
      </c>
      <c r="N33" s="180">
        <f t="shared" si="18"/>
        <v>0.52872012632982957</v>
      </c>
      <c r="O33" s="180">
        <f t="shared" si="15"/>
        <v>0.47009374208212662</v>
      </c>
      <c r="P33" s="180">
        <f t="shared" si="15"/>
        <v>0</v>
      </c>
      <c r="Q33" s="180">
        <f t="shared" si="15"/>
        <v>0</v>
      </c>
      <c r="R33" s="180">
        <f t="shared" si="15"/>
        <v>7.1673114506442485E-5</v>
      </c>
      <c r="S33" s="180">
        <f t="shared" si="15"/>
        <v>1.1144584735372114E-3</v>
      </c>
      <c r="T33" s="181"/>
      <c r="AF33" s="279" t="s">
        <v>609</v>
      </c>
      <c r="AG33" s="280"/>
      <c r="AH33" s="280"/>
      <c r="AI33" s="280"/>
      <c r="AJ33" s="281"/>
      <c r="AN33" s="279" t="s">
        <v>610</v>
      </c>
      <c r="AO33" s="280"/>
      <c r="AP33" s="280"/>
      <c r="AQ33" s="281"/>
    </row>
    <row r="34" spans="2:43" ht="18" x14ac:dyDescent="0.25">
      <c r="B34" s="123" t="s">
        <v>569</v>
      </c>
      <c r="C34" s="11" t="s">
        <v>566</v>
      </c>
      <c r="D34" s="15">
        <f t="shared" si="16"/>
        <v>1.4822749482399997</v>
      </c>
      <c r="E34" s="178">
        <f t="shared" si="17"/>
        <v>1.0434358099999999</v>
      </c>
      <c r="F34" s="178">
        <v>0.42059669999999999</v>
      </c>
      <c r="G34" s="178">
        <v>2.47912E-3</v>
      </c>
      <c r="H34" s="178">
        <v>6.4824000000000004E-7</v>
      </c>
      <c r="I34" s="178">
        <v>7.7548499999999998E-3</v>
      </c>
      <c r="J34" s="178">
        <v>8.0078200000000006E-3</v>
      </c>
      <c r="L34" s="123" t="s">
        <v>569</v>
      </c>
      <c r="M34" s="11" t="s">
        <v>29</v>
      </c>
      <c r="N34" s="180">
        <f t="shared" si="18"/>
        <v>0.70394214733166627</v>
      </c>
      <c r="O34" s="180">
        <f t="shared" si="15"/>
        <v>0.28375079839229655</v>
      </c>
      <c r="P34" s="180">
        <f t="shared" si="15"/>
        <v>1.6725102201474958E-3</v>
      </c>
      <c r="Q34" s="180">
        <f t="shared" si="15"/>
        <v>4.3732777159169897E-7</v>
      </c>
      <c r="R34" s="180">
        <f t="shared" si="15"/>
        <v>5.2317216918546933E-3</v>
      </c>
      <c r="S34" s="180">
        <f t="shared" si="15"/>
        <v>5.4023850362634809E-3</v>
      </c>
      <c r="T34" s="181"/>
    </row>
    <row r="35" spans="2:43" ht="30" x14ac:dyDescent="0.25">
      <c r="B35" s="123" t="s">
        <v>570</v>
      </c>
      <c r="C35" s="11" t="s">
        <v>571</v>
      </c>
      <c r="D35" s="15">
        <f t="shared" si="16"/>
        <v>0.12179439269999999</v>
      </c>
      <c r="E35" s="178">
        <f t="shared" si="17"/>
        <v>3.5125870000000003E-2</v>
      </c>
      <c r="F35" s="178">
        <v>7.4828389999999995E-2</v>
      </c>
      <c r="G35" s="178">
        <v>1.168728E-2</v>
      </c>
      <c r="H35" s="178">
        <v>0</v>
      </c>
      <c r="I35" s="178">
        <v>1.7927E-6</v>
      </c>
      <c r="J35" s="178">
        <v>1.5106000000000001E-4</v>
      </c>
      <c r="L35" s="123" t="s">
        <v>570</v>
      </c>
      <c r="M35" s="11" t="s">
        <v>29</v>
      </c>
      <c r="N35" s="180">
        <f t="shared" si="18"/>
        <v>0.28840301446816941</v>
      </c>
      <c r="O35" s="180">
        <f t="shared" si="15"/>
        <v>0.61438288201259694</v>
      </c>
      <c r="P35" s="180">
        <f t="shared" si="15"/>
        <v>9.5959097466725984E-2</v>
      </c>
      <c r="Q35" s="180">
        <f t="shared" si="15"/>
        <v>0</v>
      </c>
      <c r="R35" s="180">
        <f t="shared" si="15"/>
        <v>1.4719068425553224E-5</v>
      </c>
      <c r="S35" s="180">
        <f t="shared" si="15"/>
        <v>1.2402869840821499E-3</v>
      </c>
      <c r="T35" s="181"/>
      <c r="AF35" s="162" t="s">
        <v>615</v>
      </c>
      <c r="AG35" s="162" t="s">
        <v>548</v>
      </c>
      <c r="AH35" s="162" t="s">
        <v>578</v>
      </c>
      <c r="AI35" s="162" t="s">
        <v>583</v>
      </c>
      <c r="AJ35" s="162" t="s">
        <v>596</v>
      </c>
      <c r="AN35" s="162" t="s">
        <v>548</v>
      </c>
      <c r="AO35" s="162" t="s">
        <v>578</v>
      </c>
      <c r="AP35" s="162" t="s">
        <v>583</v>
      </c>
      <c r="AQ35" s="162" t="s">
        <v>596</v>
      </c>
    </row>
    <row r="36" spans="2:43" ht="18" x14ac:dyDescent="0.25">
      <c r="B36" s="171" t="s">
        <v>572</v>
      </c>
      <c r="C36" s="161" t="s">
        <v>573</v>
      </c>
      <c r="D36" s="185">
        <f t="shared" si="16"/>
        <v>323.74502739454198</v>
      </c>
      <c r="E36" s="186">
        <f t="shared" si="17"/>
        <v>265.33180666999999</v>
      </c>
      <c r="F36" s="186">
        <v>48.431099799999998</v>
      </c>
      <c r="G36" s="186">
        <v>2.1249600000000002</v>
      </c>
      <c r="H36" s="186">
        <v>4.5420999999999999E-9</v>
      </c>
      <c r="I36" s="186">
        <v>6.68803503</v>
      </c>
      <c r="J36" s="186">
        <v>1.1691258899999999</v>
      </c>
      <c r="L36" s="187" t="s">
        <v>572</v>
      </c>
      <c r="M36" s="153" t="s">
        <v>29</v>
      </c>
      <c r="N36" s="188">
        <f t="shared" si="18"/>
        <v>0.81957029210720544</v>
      </c>
      <c r="O36" s="188">
        <f t="shared" si="15"/>
        <v>0.14959642836761761</v>
      </c>
      <c r="P36" s="188">
        <f t="shared" si="15"/>
        <v>6.5636838258224467E-3</v>
      </c>
      <c r="Q36" s="188">
        <f t="shared" si="15"/>
        <v>1.4029867999994415E-11</v>
      </c>
      <c r="R36" s="188">
        <f t="shared" si="15"/>
        <v>2.06583405583846E-2</v>
      </c>
      <c r="S36" s="188">
        <f t="shared" si="15"/>
        <v>3.6112551269403999E-3</v>
      </c>
      <c r="T36" s="181"/>
      <c r="AE36" s="286" t="str">
        <f>$B$24</f>
        <v>Carcinogens</v>
      </c>
      <c r="AF36" s="15">
        <f>D5</f>
        <v>3.9640000765000001</v>
      </c>
      <c r="AG36" s="15">
        <f>AN36*Calculations!$C$47</f>
        <v>3.8260242200406935</v>
      </c>
      <c r="AH36" s="15">
        <f>AO36*Calculations!$C$47</f>
        <v>3.0448842324526475</v>
      </c>
      <c r="AI36" s="15">
        <f>AP36*Calculations!$C$47</f>
        <v>3.0065411911840201</v>
      </c>
      <c r="AJ36" s="15">
        <f>AQ36*Calculations!$C$47</f>
        <v>2.9544526344435638</v>
      </c>
      <c r="AM36" s="286" t="str">
        <f>$B$24</f>
        <v>Carcinogens</v>
      </c>
      <c r="AN36" s="15">
        <f>D24</f>
        <v>4.3903268846300003</v>
      </c>
      <c r="AO36" s="15">
        <f>D43</f>
        <v>3.4939760800000004</v>
      </c>
      <c r="AP36" s="15">
        <f>D62</f>
        <v>3.4499778000000005</v>
      </c>
      <c r="AQ36" s="15">
        <f>D81</f>
        <v>3.3902066700000004</v>
      </c>
    </row>
    <row r="37" spans="2:43" x14ac:dyDescent="0.25">
      <c r="B37" s="123" t="s">
        <v>574</v>
      </c>
      <c r="C37" s="11" t="s">
        <v>575</v>
      </c>
      <c r="D37" s="15">
        <f t="shared" si="16"/>
        <v>5438.6106436200007</v>
      </c>
      <c r="E37" s="178">
        <f t="shared" si="17"/>
        <v>4720.1778172000004</v>
      </c>
      <c r="F37" s="178">
        <v>556.53892299999995</v>
      </c>
      <c r="G37" s="178">
        <v>24.7912</v>
      </c>
      <c r="H37" s="178">
        <v>0.38869322000000001</v>
      </c>
      <c r="I37" s="178">
        <v>112.90500299999999</v>
      </c>
      <c r="J37" s="178">
        <v>23.8090072</v>
      </c>
      <c r="L37" s="123" t="s">
        <v>574</v>
      </c>
      <c r="M37" s="11" t="s">
        <v>29</v>
      </c>
      <c r="N37" s="180">
        <f t="shared" si="18"/>
        <v>0.86790140469739463</v>
      </c>
      <c r="O37" s="180">
        <f t="shared" si="15"/>
        <v>0.10233108407068489</v>
      </c>
      <c r="P37" s="180">
        <f t="shared" si="15"/>
        <v>4.558370073629448E-3</v>
      </c>
      <c r="Q37" s="180">
        <f t="shared" si="15"/>
        <v>7.1469212537943587E-5</v>
      </c>
      <c r="R37" s="180">
        <f t="shared" si="15"/>
        <v>2.0759898142818541E-2</v>
      </c>
      <c r="S37" s="180">
        <f t="shared" si="15"/>
        <v>4.3777738029344305E-3</v>
      </c>
      <c r="T37" s="181"/>
      <c r="AE37" s="286"/>
      <c r="AF37" s="15">
        <f>AF36-AG36</f>
        <v>0.13797585645930655</v>
      </c>
      <c r="AG37" s="15">
        <f>AG36-AH36</f>
        <v>0.78113998758804604</v>
      </c>
      <c r="AH37" s="15">
        <f t="shared" ref="AH37:AJ37" si="19">AH36-AI36</f>
        <v>3.834304126862742E-2</v>
      </c>
      <c r="AI37" s="15">
        <f t="shared" si="19"/>
        <v>5.2088556740456315E-2</v>
      </c>
      <c r="AJ37" s="15">
        <f t="shared" si="19"/>
        <v>2.9544526344435638</v>
      </c>
      <c r="AM37" s="286"/>
      <c r="AN37" s="15">
        <f>AN36-AO36</f>
        <v>0.89635080462999994</v>
      </c>
      <c r="AO37" s="15">
        <f t="shared" ref="AO37:AQ37" si="20">AO36-AP36</f>
        <v>4.3998279999999834E-2</v>
      </c>
      <c r="AP37" s="15">
        <f t="shared" si="20"/>
        <v>5.9771130000000117E-2</v>
      </c>
      <c r="AQ37" s="15">
        <f t="shared" si="20"/>
        <v>3.3902066700000004</v>
      </c>
    </row>
    <row r="38" spans="2:43" ht="30" x14ac:dyDescent="0.25">
      <c r="B38" s="123" t="s">
        <v>576</v>
      </c>
      <c r="C38" s="11" t="s">
        <v>577</v>
      </c>
      <c r="D38" s="15">
        <f t="shared" si="16"/>
        <v>10.73626878</v>
      </c>
      <c r="E38" s="178">
        <f t="shared" si="17"/>
        <v>5.13596217</v>
      </c>
      <c r="F38" s="178">
        <v>5.5635632599999996</v>
      </c>
      <c r="G38" s="178">
        <v>0</v>
      </c>
      <c r="H38" s="178">
        <v>2.3045179999999998E-2</v>
      </c>
      <c r="I38" s="178">
        <v>4.1555999999999999E-4</v>
      </c>
      <c r="J38" s="178">
        <v>1.328261E-2</v>
      </c>
      <c r="L38" s="123" t="s">
        <v>576</v>
      </c>
      <c r="M38" s="11" t="s">
        <v>29</v>
      </c>
      <c r="N38" s="180">
        <f t="shared" si="18"/>
        <v>0.47837496203220053</v>
      </c>
      <c r="O38" s="180">
        <f t="shared" si="15"/>
        <v>0.51820268046605289</v>
      </c>
      <c r="P38" s="180">
        <f t="shared" si="15"/>
        <v>0</v>
      </c>
      <c r="Q38" s="180">
        <f t="shared" si="15"/>
        <v>2.1464794215034547E-3</v>
      </c>
      <c r="R38" s="180">
        <f t="shared" si="15"/>
        <v>3.8706184477620725E-5</v>
      </c>
      <c r="S38" s="180">
        <f t="shared" si="15"/>
        <v>1.2371718957654486E-3</v>
      </c>
      <c r="T38" s="181"/>
      <c r="AE38" s="123" t="s">
        <v>597</v>
      </c>
      <c r="AF38" s="174">
        <f>AF37/$AF36</f>
        <v>3.4807228505689597E-2</v>
      </c>
      <c r="AG38" s="174">
        <f t="shared" ref="AG38:AJ38" si="21">AG37/$AF36</f>
        <v>0.19705851980652606</v>
      </c>
      <c r="AH38" s="174">
        <f t="shared" si="21"/>
        <v>9.6728154714069217E-3</v>
      </c>
      <c r="AI38" s="174">
        <f t="shared" si="21"/>
        <v>1.3140402556815216E-2</v>
      </c>
      <c r="AJ38" s="174">
        <f t="shared" si="21"/>
        <v>0.74532103365956226</v>
      </c>
      <c r="AM38" s="173" t="s">
        <v>597</v>
      </c>
      <c r="AN38" s="174">
        <f>AN37/$AN$36</f>
        <v>0.20416493536461144</v>
      </c>
      <c r="AO38" s="174">
        <f t="shared" ref="AO38:AQ38" si="22">AO37/$AN$36</f>
        <v>1.0021641020406124E-2</v>
      </c>
      <c r="AP38" s="174">
        <f t="shared" si="22"/>
        <v>1.3614277836407025E-2</v>
      </c>
      <c r="AQ38" s="174">
        <f t="shared" si="22"/>
        <v>0.7721991457785754</v>
      </c>
    </row>
    <row r="39" spans="2:43" x14ac:dyDescent="0.25">
      <c r="AE39" s="286" t="str">
        <f>$B$25</f>
        <v>Non-carcinogens</v>
      </c>
      <c r="AF39" s="15">
        <f>D6</f>
        <v>7.4860016399999996</v>
      </c>
      <c r="AG39" s="15">
        <f>AN39*Calculations!$C$47</f>
        <v>7.1508128669935367</v>
      </c>
      <c r="AH39" s="15">
        <f>AO39*Calculations!$C$47</f>
        <v>3.7234595514426223</v>
      </c>
      <c r="AI39" s="15">
        <f>AP39*Calculations!$C$47</f>
        <v>3.7089894810252009</v>
      </c>
      <c r="AJ39" s="15">
        <f>AQ39*Calculations!$C$47</f>
        <v>3.692442156145578</v>
      </c>
      <c r="AM39" s="286" t="str">
        <f>$B$25</f>
        <v>Non-carcinogens</v>
      </c>
      <c r="AN39" s="15">
        <f>D25</f>
        <v>8.20549065332</v>
      </c>
      <c r="AO39" s="15">
        <f>D44</f>
        <v>4.2726348900000009</v>
      </c>
      <c r="AP39" s="15">
        <f>D63</f>
        <v>4.2560306200000007</v>
      </c>
      <c r="AQ39" s="15">
        <f>D82</f>
        <v>4.2370427199999998</v>
      </c>
    </row>
    <row r="40" spans="2:43" x14ac:dyDescent="0.25">
      <c r="B40" s="283" t="s">
        <v>643</v>
      </c>
      <c r="C40" s="284"/>
      <c r="D40" s="284"/>
      <c r="E40" s="284"/>
      <c r="F40" s="284"/>
      <c r="G40" s="284"/>
      <c r="H40" s="284"/>
      <c r="I40" s="284"/>
      <c r="J40" s="284"/>
      <c r="K40" s="285"/>
      <c r="AE40" s="286"/>
      <c r="AF40" s="15">
        <f>AF39-AG39</f>
        <v>0.33518877300646288</v>
      </c>
      <c r="AG40" s="15">
        <f>AG39-AH39</f>
        <v>3.4273533155509144</v>
      </c>
      <c r="AH40" s="15">
        <f t="shared" ref="AH40:AJ40" si="23">AH39-AI39</f>
        <v>1.4470070417421432E-2</v>
      </c>
      <c r="AI40" s="15">
        <f t="shared" si="23"/>
        <v>1.6547324879622849E-2</v>
      </c>
      <c r="AJ40" s="15">
        <f t="shared" si="23"/>
        <v>3.692442156145578</v>
      </c>
      <c r="AM40" s="286"/>
      <c r="AN40" s="15">
        <f>AN39-AO39</f>
        <v>3.9328557633199992</v>
      </c>
      <c r="AO40" s="15">
        <f t="shared" ref="AO40:AQ40" si="24">AO39-AP39</f>
        <v>1.6604270000000199E-2</v>
      </c>
      <c r="AP40" s="15">
        <f t="shared" si="24"/>
        <v>1.8987900000000835E-2</v>
      </c>
      <c r="AQ40" s="15">
        <f t="shared" si="24"/>
        <v>4.2370427199999998</v>
      </c>
    </row>
    <row r="41" spans="2:43" ht="30" x14ac:dyDescent="0.25">
      <c r="AE41" s="123" t="s">
        <v>597</v>
      </c>
      <c r="AF41" s="174">
        <f>AF40/$AF39</f>
        <v>4.4775407370397383E-2</v>
      </c>
      <c r="AG41" s="174">
        <f t="shared" ref="AG41:AJ41" si="25">AG40/$AF39</f>
        <v>0.45783496723237621</v>
      </c>
      <c r="AH41" s="174">
        <f t="shared" si="25"/>
        <v>1.9329504738689095E-3</v>
      </c>
      <c r="AI41" s="174">
        <f t="shared" si="25"/>
        <v>2.2104356471424509E-3</v>
      </c>
      <c r="AJ41" s="174">
        <f t="shared" si="25"/>
        <v>0.49324623927621503</v>
      </c>
      <c r="AM41" s="173" t="s">
        <v>597</v>
      </c>
      <c r="AN41" s="174">
        <f>AN40/$AN$39</f>
        <v>0.47929562405006676</v>
      </c>
      <c r="AO41" s="174">
        <f t="shared" ref="AO41:AQ41" si="26">AO40/$AN$39</f>
        <v>2.0235560189544536E-3</v>
      </c>
      <c r="AP41" s="174">
        <f t="shared" si="26"/>
        <v>2.3140480931896734E-3</v>
      </c>
      <c r="AQ41" s="174">
        <f t="shared" si="26"/>
        <v>0.51636677183778912</v>
      </c>
    </row>
    <row r="42" spans="2:43" ht="30.95" customHeight="1" x14ac:dyDescent="0.25">
      <c r="B42" s="162" t="s">
        <v>547</v>
      </c>
      <c r="C42" s="162" t="s">
        <v>337</v>
      </c>
      <c r="D42" s="162" t="s">
        <v>213</v>
      </c>
      <c r="E42" s="162" t="s">
        <v>583</v>
      </c>
      <c r="F42" s="162" t="s">
        <v>581</v>
      </c>
      <c r="H42" s="122" t="s">
        <v>547</v>
      </c>
      <c r="I42" s="122" t="s">
        <v>337</v>
      </c>
      <c r="J42" s="162" t="s">
        <v>583</v>
      </c>
      <c r="K42" s="162" t="s">
        <v>581</v>
      </c>
      <c r="AE42" s="286" t="str">
        <f>$B$26</f>
        <v>Respiratory inorganics</v>
      </c>
      <c r="AF42" s="15">
        <f>D7</f>
        <v>0.26840002200000002</v>
      </c>
      <c r="AG42" s="15">
        <f>AN42*Calculations!$C$47</f>
        <v>0.2574716171023802</v>
      </c>
      <c r="AH42" s="15">
        <f>AO42*Calculations!$C$47</f>
        <v>0.19009489679466449</v>
      </c>
      <c r="AI42" s="15">
        <f>AP42*Calculations!$C$47</f>
        <v>0.18685909690924907</v>
      </c>
      <c r="AJ42" s="15">
        <f>AQ42*Calculations!$C$47</f>
        <v>0.18718530437026054</v>
      </c>
      <c r="AM42" s="286" t="str">
        <f>$B$26</f>
        <v>Respiratory inorganics</v>
      </c>
      <c r="AN42" s="15">
        <f>D26</f>
        <v>0.29544626421150005</v>
      </c>
      <c r="AO42" s="15">
        <f>D45</f>
        <v>0.21813211000000002</v>
      </c>
      <c r="AP42" s="15">
        <f>D64</f>
        <v>0.21441906000000002</v>
      </c>
      <c r="AQ42" s="15">
        <f>D83</f>
        <v>0.21479338000000001</v>
      </c>
    </row>
    <row r="43" spans="2:43" ht="18" x14ac:dyDescent="0.25">
      <c r="B43" s="123" t="s">
        <v>550</v>
      </c>
      <c r="C43" s="11" t="s">
        <v>551</v>
      </c>
      <c r="D43" s="15">
        <f>SUM(E43:F43)</f>
        <v>3.4939760800000004</v>
      </c>
      <c r="E43" s="178">
        <f>D62</f>
        <v>3.4499778000000005</v>
      </c>
      <c r="F43" s="178">
        <v>4.3998280000000001E-2</v>
      </c>
      <c r="H43" s="123" t="s">
        <v>550</v>
      </c>
      <c r="I43" s="11" t="s">
        <v>29</v>
      </c>
      <c r="J43" s="180">
        <f>E43/$D43</f>
        <v>0.98740738946329598</v>
      </c>
      <c r="K43" s="180">
        <f>F43/$D43</f>
        <v>1.2592610536704074E-2</v>
      </c>
      <c r="AE43" s="286"/>
      <c r="AF43" s="15">
        <f>AF42-AG42</f>
        <v>1.0928404897619814E-2</v>
      </c>
      <c r="AG43" s="15">
        <f>AG42-AH42</f>
        <v>6.7376720307715715E-2</v>
      </c>
      <c r="AH43" s="15">
        <f t="shared" ref="AH43:AJ43" si="27">AH42-AI42</f>
        <v>3.2357998854154191E-3</v>
      </c>
      <c r="AI43" s="15">
        <f t="shared" si="27"/>
        <v>-3.2620746101147402E-4</v>
      </c>
      <c r="AJ43" s="15">
        <f t="shared" si="27"/>
        <v>0.18718530437026054</v>
      </c>
      <c r="AM43" s="286"/>
      <c r="AN43" s="15">
        <f>AN42-AO42</f>
        <v>7.7314154211500036E-2</v>
      </c>
      <c r="AO43" s="15">
        <f t="shared" ref="AO43:AQ43" si="28">AO42-AP42</f>
        <v>3.7130499999999955E-3</v>
      </c>
      <c r="AP43" s="15">
        <f t="shared" si="28"/>
        <v>-3.7431999999998355E-4</v>
      </c>
      <c r="AQ43" s="15">
        <f t="shared" si="28"/>
        <v>0.21479338000000001</v>
      </c>
    </row>
    <row r="44" spans="2:43" ht="30" x14ac:dyDescent="0.25">
      <c r="B44" s="123" t="s">
        <v>552</v>
      </c>
      <c r="C44" s="11" t="s">
        <v>551</v>
      </c>
      <c r="D44" s="15">
        <f t="shared" ref="D44:D57" si="29">SUM(E44:F44)</f>
        <v>4.2726348900000009</v>
      </c>
      <c r="E44" s="178">
        <f t="shared" ref="E44:E57" si="30">D63</f>
        <v>4.2560306200000007</v>
      </c>
      <c r="F44" s="178">
        <v>1.6604270000000001E-2</v>
      </c>
      <c r="H44" s="123" t="s">
        <v>552</v>
      </c>
      <c r="I44" s="11" t="s">
        <v>29</v>
      </c>
      <c r="J44" s="180">
        <f t="shared" ref="J44:K57" si="31">E44/$D44</f>
        <v>0.99611381023010837</v>
      </c>
      <c r="K44" s="180">
        <f t="shared" si="31"/>
        <v>3.8861897698916179E-3</v>
      </c>
      <c r="AE44" s="123" t="s">
        <v>597</v>
      </c>
      <c r="AF44" s="174">
        <f>AF43/$AF42</f>
        <v>4.0716855446531273E-2</v>
      </c>
      <c r="AG44" s="174">
        <f t="shared" ref="AG44:AJ44" si="32">AG43/$AF42</f>
        <v>0.25103097907985905</v>
      </c>
      <c r="AH44" s="174">
        <f t="shared" si="32"/>
        <v>1.2055885321110066E-2</v>
      </c>
      <c r="AI44" s="174">
        <f t="shared" si="32"/>
        <v>-1.2153779220311464E-3</v>
      </c>
      <c r="AJ44" s="174">
        <f t="shared" si="32"/>
        <v>0.69741165807453076</v>
      </c>
      <c r="AM44" s="173" t="s">
        <v>597</v>
      </c>
      <c r="AN44" s="174">
        <f>AN43/$AN$42</f>
        <v>0.26168601054353974</v>
      </c>
      <c r="AO44" s="174">
        <f t="shared" ref="AO44:AQ44" si="33">AO43/$AN$42</f>
        <v>1.2567598408832639E-2</v>
      </c>
      <c r="AP44" s="174">
        <f t="shared" si="33"/>
        <v>-1.2669647422991967E-3</v>
      </c>
      <c r="AQ44" s="174">
        <f t="shared" si="33"/>
        <v>0.72701335578992676</v>
      </c>
    </row>
    <row r="45" spans="2:43" x14ac:dyDescent="0.25">
      <c r="B45" s="123" t="s">
        <v>553</v>
      </c>
      <c r="C45" s="11" t="s">
        <v>554</v>
      </c>
      <c r="D45" s="15">
        <f t="shared" si="29"/>
        <v>0.21813211000000002</v>
      </c>
      <c r="E45" s="178">
        <f t="shared" si="30"/>
        <v>0.21441906000000002</v>
      </c>
      <c r="F45" s="178">
        <v>3.7130499999999999E-3</v>
      </c>
      <c r="H45" s="123" t="s">
        <v>553</v>
      </c>
      <c r="I45" s="11" t="s">
        <v>29</v>
      </c>
      <c r="J45" s="180">
        <f t="shared" si="31"/>
        <v>0.98297797605313586</v>
      </c>
      <c r="K45" s="180">
        <f t="shared" si="31"/>
        <v>1.7022023946864126E-2</v>
      </c>
      <c r="AE45" s="286" t="str">
        <f>$B$27</f>
        <v>Ionizing radiation</v>
      </c>
      <c r="AF45" s="15">
        <f>D8</f>
        <v>5452.0150000000003</v>
      </c>
      <c r="AG45" s="15">
        <f>AN45*Calculations!$C$47</f>
        <v>7659.122559281187</v>
      </c>
      <c r="AH45" s="15">
        <f>AO45*Calculations!$C$47</f>
        <v>7281.5430626400639</v>
      </c>
      <c r="AI45" s="15">
        <f>AP45*Calculations!$C$47</f>
        <v>7165.9870011911344</v>
      </c>
      <c r="AJ45" s="15">
        <f>AQ45*Calculations!$C$47</f>
        <v>6687.0523680928191</v>
      </c>
      <c r="AM45" s="286" t="str">
        <f>$B$27</f>
        <v>Ionizing radiation</v>
      </c>
      <c r="AN45" s="15">
        <f>D27</f>
        <v>8788.7712546499988</v>
      </c>
      <c r="AO45" s="15">
        <f>D46</f>
        <v>8355.5023258999991</v>
      </c>
      <c r="AP45" s="15">
        <f>D65</f>
        <v>8222.9028298999983</v>
      </c>
      <c r="AQ45" s="15">
        <f>D84</f>
        <v>7673.3298332999993</v>
      </c>
    </row>
    <row r="46" spans="2:43" x14ac:dyDescent="0.25">
      <c r="B46" s="123" t="s">
        <v>555</v>
      </c>
      <c r="C46" s="11" t="s">
        <v>556</v>
      </c>
      <c r="D46" s="15">
        <f t="shared" si="29"/>
        <v>8355.5023258999991</v>
      </c>
      <c r="E46" s="178">
        <f t="shared" si="30"/>
        <v>8222.9028298999983</v>
      </c>
      <c r="F46" s="178">
        <v>132.59949599999999</v>
      </c>
      <c r="H46" s="123" t="s">
        <v>555</v>
      </c>
      <c r="I46" s="11" t="s">
        <v>29</v>
      </c>
      <c r="J46" s="180">
        <f t="shared" si="31"/>
        <v>0.98413027836890488</v>
      </c>
      <c r="K46" s="180">
        <f t="shared" si="31"/>
        <v>1.5869721631095023E-2</v>
      </c>
      <c r="AE46" s="286"/>
      <c r="AF46" s="15">
        <f>AF45-AG45</f>
        <v>-2207.1075592811867</v>
      </c>
      <c r="AG46" s="15">
        <f>AG45-AH45</f>
        <v>377.57949664112311</v>
      </c>
      <c r="AH46" s="15">
        <f t="shared" ref="AH46:AJ46" si="34">AH45-AI45</f>
        <v>115.55606144892954</v>
      </c>
      <c r="AI46" s="15">
        <f t="shared" si="34"/>
        <v>478.93463309831532</v>
      </c>
      <c r="AJ46" s="15">
        <f t="shared" si="34"/>
        <v>6687.0523680928191</v>
      </c>
      <c r="AM46" s="286"/>
      <c r="AN46" s="15">
        <f>AN45-AO45</f>
        <v>433.26892874999976</v>
      </c>
      <c r="AO46" s="15">
        <f t="shared" ref="AO46:AQ46" si="35">AO45-AP45</f>
        <v>132.59949600000073</v>
      </c>
      <c r="AP46" s="15">
        <f t="shared" si="35"/>
        <v>549.57299659999899</v>
      </c>
      <c r="AQ46" s="15">
        <f t="shared" si="35"/>
        <v>7673.3298332999993</v>
      </c>
    </row>
    <row r="47" spans="2:43" ht="30" x14ac:dyDescent="0.25">
      <c r="B47" s="123" t="s">
        <v>557</v>
      </c>
      <c r="C47" s="11" t="s">
        <v>558</v>
      </c>
      <c r="D47" s="15">
        <f t="shared" si="29"/>
        <v>4.4513259999999997E-5</v>
      </c>
      <c r="E47" s="178">
        <f t="shared" si="30"/>
        <v>4.4119969999999996E-5</v>
      </c>
      <c r="F47" s="178">
        <v>3.9329E-7</v>
      </c>
      <c r="H47" s="123" t="s">
        <v>557</v>
      </c>
      <c r="I47" s="11" t="s">
        <v>29</v>
      </c>
      <c r="J47" s="180">
        <f t="shared" si="31"/>
        <v>0.99116465520611163</v>
      </c>
      <c r="K47" s="180">
        <f t="shared" si="31"/>
        <v>8.835344793888384E-3</v>
      </c>
      <c r="AE47" s="123" t="s">
        <v>597</v>
      </c>
      <c r="AF47" s="174">
        <f>AF46/$AF45</f>
        <v>-0.40482419055728691</v>
      </c>
      <c r="AG47" s="174">
        <f t="shared" ref="AG47:AJ47" si="36">AG46/$AF45</f>
        <v>6.9255036283121574E-2</v>
      </c>
      <c r="AH47" s="174">
        <f t="shared" si="36"/>
        <v>2.119511069740812E-2</v>
      </c>
      <c r="AI47" s="174">
        <f t="shared" si="36"/>
        <v>8.7845435696401297E-2</v>
      </c>
      <c r="AJ47" s="174">
        <f t="shared" si="36"/>
        <v>1.2265286078803559</v>
      </c>
      <c r="AM47" s="173" t="s">
        <v>597</v>
      </c>
      <c r="AN47" s="174">
        <f>AN46/$AN45</f>
        <v>4.9298009493734869E-2</v>
      </c>
      <c r="AO47" s="174">
        <f t="shared" ref="AO47:AQ47" si="37">AO46/$AN45</f>
        <v>1.5087375943462454E-2</v>
      </c>
      <c r="AP47" s="174">
        <f t="shared" si="37"/>
        <v>6.2531266393948834E-2</v>
      </c>
      <c r="AQ47" s="174">
        <f t="shared" si="37"/>
        <v>0.8730833481688538</v>
      </c>
    </row>
    <row r="48" spans="2:43" ht="18" x14ac:dyDescent="0.25">
      <c r="B48" s="123" t="s">
        <v>559</v>
      </c>
      <c r="C48" s="11" t="s">
        <v>560</v>
      </c>
      <c r="D48" s="15">
        <f t="shared" si="29"/>
        <v>9.5037280000000002E-2</v>
      </c>
      <c r="E48" s="178">
        <f t="shared" si="30"/>
        <v>9.4698290000000004E-2</v>
      </c>
      <c r="F48" s="178">
        <v>3.3899000000000001E-4</v>
      </c>
      <c r="H48" s="123" t="s">
        <v>559</v>
      </c>
      <c r="I48" s="11" t="s">
        <v>29</v>
      </c>
      <c r="J48" s="180">
        <f t="shared" si="31"/>
        <v>0.99643308394347985</v>
      </c>
      <c r="K48" s="180">
        <f t="shared" si="31"/>
        <v>3.5669160565201361E-3</v>
      </c>
      <c r="AE48" s="286" t="str">
        <f>$B$27</f>
        <v>Ionizing radiation</v>
      </c>
      <c r="AF48" s="15">
        <f>D9</f>
        <v>4.6350000000054402E-5</v>
      </c>
      <c r="AG48" s="15">
        <f>AN48*Calculations!$C$47</f>
        <v>4.3012391179413739E-5</v>
      </c>
      <c r="AH48" s="15">
        <f>AO48*Calculations!$C$47</f>
        <v>3.8791829252896631E-5</v>
      </c>
      <c r="AI48" s="15">
        <f>AP48*Calculations!$C$47</f>
        <v>3.8449090066261643E-5</v>
      </c>
      <c r="AJ48" s="15">
        <f>AQ48*Calculations!$C$47</f>
        <v>3.7122769850371963E-5</v>
      </c>
      <c r="AM48" s="286" t="str">
        <f>$B$28</f>
        <v>Ozone layer depletion</v>
      </c>
      <c r="AN48" s="15">
        <f>D28</f>
        <v>4.93563152000104E-5</v>
      </c>
      <c r="AO48" s="15">
        <f>D47</f>
        <v>4.4513259999999997E-5</v>
      </c>
      <c r="AP48" s="15">
        <f>D66</f>
        <v>4.4119969999999996E-5</v>
      </c>
      <c r="AQ48" s="15">
        <f>D85</f>
        <v>4.2598029999999996E-5</v>
      </c>
    </row>
    <row r="49" spans="2:43" x14ac:dyDescent="0.25">
      <c r="B49" s="123" t="s">
        <v>561</v>
      </c>
      <c r="C49" s="11" t="s">
        <v>562</v>
      </c>
      <c r="D49" s="15">
        <f t="shared" si="29"/>
        <v>20561.136864</v>
      </c>
      <c r="E49" s="178">
        <f t="shared" si="30"/>
        <v>20407.093761</v>
      </c>
      <c r="F49" s="178">
        <v>154.043103</v>
      </c>
      <c r="H49" s="123" t="s">
        <v>561</v>
      </c>
      <c r="I49" s="11" t="s">
        <v>29</v>
      </c>
      <c r="J49" s="180">
        <f t="shared" si="31"/>
        <v>0.99250804544423266</v>
      </c>
      <c r="K49" s="180">
        <f t="shared" si="31"/>
        <v>7.491954555767311E-3</v>
      </c>
      <c r="AE49" s="286"/>
      <c r="AF49" s="15">
        <f>AF48-AG48</f>
        <v>3.3376088206406629E-6</v>
      </c>
      <c r="AG49" s="15">
        <f>AG48-AH48</f>
        <v>4.2205619265171077E-6</v>
      </c>
      <c r="AH49" s="15">
        <f t="shared" ref="AH49:AJ49" si="38">AH48-AI48</f>
        <v>3.4273918663498817E-7</v>
      </c>
      <c r="AI49" s="15">
        <f t="shared" si="38"/>
        <v>1.3263202158896799E-6</v>
      </c>
      <c r="AJ49" s="15">
        <f t="shared" si="38"/>
        <v>3.7122769850371963E-5</v>
      </c>
      <c r="AM49" s="286"/>
      <c r="AN49" s="15">
        <f>AN48-AO48</f>
        <v>4.8430552000104028E-6</v>
      </c>
      <c r="AO49" s="15">
        <f t="shared" ref="AO49:AQ49" si="39">AO48-AP48</f>
        <v>3.9329000000000111E-7</v>
      </c>
      <c r="AP49" s="15">
        <f t="shared" si="39"/>
        <v>1.5219399999999992E-6</v>
      </c>
      <c r="AQ49" s="15">
        <f t="shared" si="39"/>
        <v>4.2598029999999996E-5</v>
      </c>
    </row>
    <row r="50" spans="2:43" ht="30" x14ac:dyDescent="0.25">
      <c r="B50" s="123" t="s">
        <v>563</v>
      </c>
      <c r="C50" s="11" t="s">
        <v>564</v>
      </c>
      <c r="D50" s="15">
        <f t="shared" si="29"/>
        <v>12740.871373099999</v>
      </c>
      <c r="E50" s="178">
        <f t="shared" si="30"/>
        <v>12704.052467899999</v>
      </c>
      <c r="F50" s="178">
        <v>36.818905200000003</v>
      </c>
      <c r="H50" s="123" t="s">
        <v>563</v>
      </c>
      <c r="I50" s="11" t="s">
        <v>29</v>
      </c>
      <c r="J50" s="180">
        <f t="shared" si="31"/>
        <v>0.99711017369834409</v>
      </c>
      <c r="K50" s="180">
        <f t="shared" si="31"/>
        <v>2.8898263016559709E-3</v>
      </c>
      <c r="AE50" s="123" t="s">
        <v>597</v>
      </c>
      <c r="AF50" s="174">
        <f>AF49/$AF48</f>
        <v>7.2008820294212419E-2</v>
      </c>
      <c r="AG50" s="174">
        <f t="shared" ref="AG50:AJ50" si="40">AG49/$AF48</f>
        <v>9.105850974136255E-2</v>
      </c>
      <c r="AH50" s="174">
        <f t="shared" si="40"/>
        <v>7.3945887084053055E-3</v>
      </c>
      <c r="AI50" s="174">
        <f t="shared" si="40"/>
        <v>2.8615322888632645E-2</v>
      </c>
      <c r="AJ50" s="174">
        <f t="shared" si="40"/>
        <v>0.80092275836738713</v>
      </c>
      <c r="AM50" s="173" t="s">
        <v>597</v>
      </c>
      <c r="AN50" s="174">
        <f>AN49/$AN48</f>
        <v>9.8124326753010568E-2</v>
      </c>
      <c r="AO50" s="174">
        <f t="shared" ref="AO50:AQ50" si="41">AO49/$AN48</f>
        <v>7.9683825343573912E-3</v>
      </c>
      <c r="AP50" s="174">
        <f t="shared" si="41"/>
        <v>3.0835770333188864E-2</v>
      </c>
      <c r="AQ50" s="174">
        <f t="shared" si="41"/>
        <v>0.86307152037944312</v>
      </c>
    </row>
    <row r="51" spans="2:43" ht="18" x14ac:dyDescent="0.25">
      <c r="B51" s="123" t="s">
        <v>565</v>
      </c>
      <c r="C51" s="11" t="s">
        <v>566</v>
      </c>
      <c r="D51" s="15">
        <f t="shared" si="29"/>
        <v>3.3515095399999999</v>
      </c>
      <c r="E51" s="178">
        <f t="shared" si="30"/>
        <v>3.2936220399999998</v>
      </c>
      <c r="F51" s="178">
        <v>5.7887500000000001E-2</v>
      </c>
      <c r="H51" s="123" t="s">
        <v>565</v>
      </c>
      <c r="I51" s="11" t="s">
        <v>29</v>
      </c>
      <c r="J51" s="180">
        <f t="shared" si="31"/>
        <v>0.98272793220215626</v>
      </c>
      <c r="K51" s="180">
        <f t="shared" si="31"/>
        <v>1.7272067797843717E-2</v>
      </c>
      <c r="AE51" s="286" t="str">
        <f>$B$29</f>
        <v>Respiratory organics</v>
      </c>
      <c r="AF51" s="15">
        <f>D10</f>
        <v>0.10343038700000001</v>
      </c>
      <c r="AG51" s="15">
        <f>AN51*Calculations!$C$47</f>
        <v>9.5128554972668672E-2</v>
      </c>
      <c r="AH51" s="15">
        <f>AO51*Calculations!$C$47</f>
        <v>8.2821836424016762E-2</v>
      </c>
      <c r="AI51" s="15">
        <f>AP51*Calculations!$C$47</f>
        <v>8.2526417885845457E-2</v>
      </c>
      <c r="AJ51" s="15">
        <f>AQ51*Calculations!$C$47</f>
        <v>8.1821444799755352E-2</v>
      </c>
      <c r="AM51" s="286" t="str">
        <f>$B$29</f>
        <v>Respiratory organics</v>
      </c>
      <c r="AN51" s="15">
        <f>D29</f>
        <v>0.10915912403400001</v>
      </c>
      <c r="AO51" s="15">
        <f>D48</f>
        <v>9.5037280000000002E-2</v>
      </c>
      <c r="AP51" s="15">
        <f>D67</f>
        <v>9.4698290000000004E-2</v>
      </c>
      <c r="AQ51" s="15">
        <f>D86</f>
        <v>9.3889340000000002E-2</v>
      </c>
    </row>
    <row r="52" spans="2:43" x14ac:dyDescent="0.25">
      <c r="B52" s="123" t="s">
        <v>567</v>
      </c>
      <c r="C52" s="11" t="s">
        <v>568</v>
      </c>
      <c r="D52" s="15">
        <f t="shared" si="29"/>
        <v>7.7331271599999996</v>
      </c>
      <c r="E52" s="178">
        <f t="shared" si="30"/>
        <v>7.6927281799999996</v>
      </c>
      <c r="F52" s="178">
        <v>4.0398980000000001E-2</v>
      </c>
      <c r="H52" s="123" t="s">
        <v>567</v>
      </c>
      <c r="I52" s="11" t="s">
        <v>29</v>
      </c>
      <c r="J52" s="180">
        <f t="shared" si="31"/>
        <v>0.99477585468800178</v>
      </c>
      <c r="K52" s="180">
        <f t="shared" si="31"/>
        <v>5.2241453119982063E-3</v>
      </c>
      <c r="AE52" s="286"/>
      <c r="AF52" s="15">
        <f>AF51-AG51</f>
        <v>8.3018320273313406E-3</v>
      </c>
      <c r="AG52" s="15">
        <f>AG51-AH51</f>
        <v>1.230671854865191E-2</v>
      </c>
      <c r="AH52" s="15">
        <f t="shared" ref="AH52:AJ52" si="42">AH51-AI51</f>
        <v>2.9541853817130481E-4</v>
      </c>
      <c r="AI52" s="15">
        <f t="shared" si="42"/>
        <v>7.0497308609010489E-4</v>
      </c>
      <c r="AJ52" s="15">
        <f t="shared" si="42"/>
        <v>8.1821444799755352E-2</v>
      </c>
      <c r="AM52" s="286"/>
      <c r="AN52" s="15">
        <f>AN51-AO51</f>
        <v>1.4121844034000006E-2</v>
      </c>
      <c r="AO52" s="15">
        <f t="shared" ref="AO52:AQ52" si="43">AO51-AP51</f>
        <v>3.3898999999999735E-4</v>
      </c>
      <c r="AP52" s="15">
        <f t="shared" si="43"/>
        <v>8.0895000000000272E-4</v>
      </c>
      <c r="AQ52" s="15">
        <f t="shared" si="43"/>
        <v>9.3889340000000002E-2</v>
      </c>
    </row>
    <row r="53" spans="2:43" ht="30" x14ac:dyDescent="0.25">
      <c r="B53" s="123" t="s">
        <v>569</v>
      </c>
      <c r="C53" s="11" t="s">
        <v>566</v>
      </c>
      <c r="D53" s="15">
        <f t="shared" si="29"/>
        <v>1.0434358099999999</v>
      </c>
      <c r="E53" s="178">
        <f t="shared" si="30"/>
        <v>1.0235889499999999</v>
      </c>
      <c r="F53" s="178">
        <v>1.9846860000000001E-2</v>
      </c>
      <c r="H53" s="123" t="s">
        <v>569</v>
      </c>
      <c r="I53" s="11" t="s">
        <v>29</v>
      </c>
      <c r="J53" s="180">
        <f t="shared" si="31"/>
        <v>0.9809793186990583</v>
      </c>
      <c r="K53" s="180">
        <f t="shared" si="31"/>
        <v>1.9020681300941745E-2</v>
      </c>
      <c r="AE53" s="123" t="s">
        <v>597</v>
      </c>
      <c r="AF53" s="174">
        <f>AF52/$AF51</f>
        <v>8.026492279615409E-2</v>
      </c>
      <c r="AG53" s="174">
        <f t="shared" ref="AG53:AJ53" si="44">AG52/$AF51</f>
        <v>0.11898552162095176</v>
      </c>
      <c r="AH53" s="174">
        <f t="shared" si="44"/>
        <v>2.8562064470599416E-3</v>
      </c>
      <c r="AI53" s="174">
        <f t="shared" si="44"/>
        <v>6.8159184794513517E-3</v>
      </c>
      <c r="AJ53" s="174">
        <f t="shared" si="44"/>
        <v>0.79107743065638281</v>
      </c>
      <c r="AM53" s="173" t="s">
        <v>597</v>
      </c>
      <c r="AN53" s="174">
        <f>AN52/$AN51</f>
        <v>0.12936934185731874</v>
      </c>
      <c r="AO53" s="174">
        <f t="shared" ref="AO53:AQ53" si="45">AO52/$AN51</f>
        <v>3.1054664738277989E-3</v>
      </c>
      <c r="AP53" s="174">
        <f t="shared" si="45"/>
        <v>7.4107410366176761E-3</v>
      </c>
      <c r="AQ53" s="174">
        <f t="shared" si="45"/>
        <v>0.86011445063223579</v>
      </c>
    </row>
    <row r="54" spans="2:43" ht="18" x14ac:dyDescent="0.25">
      <c r="B54" s="123" t="s">
        <v>570</v>
      </c>
      <c r="C54" s="11" t="s">
        <v>571</v>
      </c>
      <c r="D54" s="15">
        <f t="shared" si="29"/>
        <v>3.5125870000000003E-2</v>
      </c>
      <c r="E54" s="178">
        <f t="shared" si="30"/>
        <v>3.4751480000000001E-2</v>
      </c>
      <c r="F54" s="178">
        <v>3.7439E-4</v>
      </c>
      <c r="H54" s="123" t="s">
        <v>570</v>
      </c>
      <c r="I54" s="11" t="s">
        <v>29</v>
      </c>
      <c r="J54" s="180">
        <f t="shared" si="31"/>
        <v>0.9893414739620684</v>
      </c>
      <c r="K54" s="180">
        <f t="shared" si="31"/>
        <v>1.0658526037931586E-2</v>
      </c>
      <c r="AE54" s="286" t="str">
        <f>$B$30</f>
        <v>Aquatic ecotoxicity</v>
      </c>
      <c r="AF54" s="15">
        <f>D11</f>
        <v>23300.698</v>
      </c>
      <c r="AG54" s="15">
        <f>AN54*Calculations!$C$47</f>
        <v>21650.14822731313</v>
      </c>
      <c r="AH54" s="15">
        <f>AO54*Calculations!$C$47</f>
        <v>17918.348610587644</v>
      </c>
      <c r="AI54" s="15">
        <f>AP54*Calculations!$C$47</f>
        <v>17784.105157082726</v>
      </c>
      <c r="AJ54" s="15">
        <f>AQ54*Calculations!$C$47</f>
        <v>17373.109535068328</v>
      </c>
      <c r="AM54" s="286" t="str">
        <f>$B$30</f>
        <v>Aquatic ecotoxicity</v>
      </c>
      <c r="AN54" s="15">
        <f>D30</f>
        <v>24843.3419006392</v>
      </c>
      <c r="AO54" s="15">
        <f>D49</f>
        <v>20561.136864</v>
      </c>
      <c r="AP54" s="15">
        <f>D68</f>
        <v>20407.093761</v>
      </c>
      <c r="AQ54" s="15">
        <f>D87</f>
        <v>19935.480142</v>
      </c>
    </row>
    <row r="55" spans="2:43" ht="18" x14ac:dyDescent="0.25">
      <c r="B55" s="171" t="s">
        <v>572</v>
      </c>
      <c r="C55" s="161" t="s">
        <v>573</v>
      </c>
      <c r="D55" s="185">
        <f t="shared" si="29"/>
        <v>265.33180666999999</v>
      </c>
      <c r="E55" s="186">
        <f t="shared" si="30"/>
        <v>262.43420534000001</v>
      </c>
      <c r="F55" s="186">
        <v>2.8976013300000001</v>
      </c>
      <c r="H55" s="123" t="s">
        <v>572</v>
      </c>
      <c r="I55" s="11" t="s">
        <v>29</v>
      </c>
      <c r="J55" s="180">
        <f t="shared" si="31"/>
        <v>0.98907932913748331</v>
      </c>
      <c r="K55" s="180">
        <f t="shared" si="31"/>
        <v>1.0920670862516763E-2</v>
      </c>
      <c r="AE55" s="286"/>
      <c r="AF55" s="15">
        <f>AF54-AG54</f>
        <v>1650.5497726868707</v>
      </c>
      <c r="AG55" s="15">
        <f>AG54-AH54</f>
        <v>3731.799616725486</v>
      </c>
      <c r="AH55" s="15">
        <f t="shared" ref="AH55:AJ55" si="46">AH54-AI54</f>
        <v>134.24345350491785</v>
      </c>
      <c r="AI55" s="15">
        <f t="shared" si="46"/>
        <v>410.99562201439767</v>
      </c>
      <c r="AJ55" s="15">
        <f t="shared" si="46"/>
        <v>17373.109535068328</v>
      </c>
      <c r="AM55" s="286"/>
      <c r="AN55" s="15">
        <f>AN54-AO54</f>
        <v>4282.2050366391995</v>
      </c>
      <c r="AO55" s="15">
        <f t="shared" ref="AO55:AQ55" si="47">AO54-AP54</f>
        <v>154.04310299999997</v>
      </c>
      <c r="AP55" s="15">
        <f t="shared" si="47"/>
        <v>471.61361899999974</v>
      </c>
      <c r="AQ55" s="15">
        <f t="shared" si="47"/>
        <v>19935.480142</v>
      </c>
    </row>
    <row r="56" spans="2:43" ht="30" x14ac:dyDescent="0.25">
      <c r="B56" s="123" t="s">
        <v>574</v>
      </c>
      <c r="C56" s="11" t="s">
        <v>575</v>
      </c>
      <c r="D56" s="15">
        <f t="shared" si="29"/>
        <v>4720.1778172000004</v>
      </c>
      <c r="E56" s="178">
        <f t="shared" si="30"/>
        <v>4661.1687651000002</v>
      </c>
      <c r="F56" s="178">
        <v>59.009052099999998</v>
      </c>
      <c r="H56" s="123" t="s">
        <v>574</v>
      </c>
      <c r="I56" s="11" t="s">
        <v>29</v>
      </c>
      <c r="J56" s="180">
        <f t="shared" si="31"/>
        <v>0.98749855315090562</v>
      </c>
      <c r="K56" s="180">
        <f t="shared" si="31"/>
        <v>1.2501446849094352E-2</v>
      </c>
      <c r="AE56" s="123" t="s">
        <v>597</v>
      </c>
      <c r="AF56" s="174">
        <f>AF55/$AF54</f>
        <v>7.0836923970555327E-2</v>
      </c>
      <c r="AG56" s="174">
        <f t="shared" ref="AG56:AJ56" si="48">AG55/$AF54</f>
        <v>0.16015827580467701</v>
      </c>
      <c r="AH56" s="174">
        <f t="shared" si="48"/>
        <v>5.761349016450831E-3</v>
      </c>
      <c r="AI56" s="174">
        <f t="shared" si="48"/>
        <v>1.7638768676131403E-2</v>
      </c>
      <c r="AJ56" s="174">
        <f t="shared" si="48"/>
        <v>0.74560468253218537</v>
      </c>
      <c r="AM56" s="173" t="s">
        <v>597</v>
      </c>
      <c r="AN56" s="174">
        <f>AN55/$AN54</f>
        <v>0.17236831718397039</v>
      </c>
      <c r="AO56" s="174">
        <f t="shared" ref="AO56:AQ56" si="49">AO55/$AN54</f>
        <v>6.200578956570918E-3</v>
      </c>
      <c r="AP56" s="174">
        <f t="shared" si="49"/>
        <v>1.8983501530760862E-2</v>
      </c>
      <c r="AQ56" s="174">
        <f t="shared" si="49"/>
        <v>0.80244760232869783</v>
      </c>
    </row>
    <row r="57" spans="2:43" x14ac:dyDescent="0.25">
      <c r="B57" s="123" t="s">
        <v>576</v>
      </c>
      <c r="C57" s="11" t="s">
        <v>577</v>
      </c>
      <c r="D57" s="15">
        <f t="shared" si="29"/>
        <v>5.13596217</v>
      </c>
      <c r="E57" s="178">
        <f t="shared" si="30"/>
        <v>5.1030420899999998</v>
      </c>
      <c r="F57" s="178">
        <v>3.2920079999999997E-2</v>
      </c>
      <c r="H57" s="123" t="s">
        <v>576</v>
      </c>
      <c r="I57" s="11" t="s">
        <v>29</v>
      </c>
      <c r="J57" s="180">
        <f t="shared" si="31"/>
        <v>0.99359027989102178</v>
      </c>
      <c r="K57" s="180">
        <f t="shared" si="31"/>
        <v>6.4097201089781388E-3</v>
      </c>
      <c r="AE57" s="286" t="str">
        <f>$B$31</f>
        <v>Terrestrial ecotoxicity</v>
      </c>
      <c r="AF57" s="15">
        <f>D12</f>
        <v>13490.000147000001</v>
      </c>
      <c r="AG57" s="15">
        <f>AN57*Calculations!$C$47</f>
        <v>12295.86042423057</v>
      </c>
      <c r="AH57" s="15">
        <f>AO57*Calculations!$C$47</f>
        <v>11103.246691848988</v>
      </c>
      <c r="AI57" s="15">
        <f>AP57*Calculations!$C$47</f>
        <v>11071.160237525108</v>
      </c>
      <c r="AJ57" s="15">
        <f>AQ57*Calculations!$C$47</f>
        <v>10974.618718171696</v>
      </c>
      <c r="AM57" s="286" t="str">
        <f>$B$31</f>
        <v>Terrestrial ecotoxicity</v>
      </c>
      <c r="AN57" s="15">
        <f>D31</f>
        <v>14109.384438131798</v>
      </c>
      <c r="AO57" s="15">
        <f>D50</f>
        <v>12740.871373099999</v>
      </c>
      <c r="AP57" s="15">
        <f>D69</f>
        <v>12704.052467899999</v>
      </c>
      <c r="AQ57" s="15">
        <f>D88</f>
        <v>12593.2719805</v>
      </c>
    </row>
    <row r="58" spans="2:43" x14ac:dyDescent="0.25">
      <c r="AE58" s="286"/>
      <c r="AF58" s="15">
        <f>AF57-AG57</f>
        <v>1194.1397227694306</v>
      </c>
      <c r="AG58" s="15">
        <f>AG57-AH57</f>
        <v>1192.6137323815819</v>
      </c>
      <c r="AH58" s="15">
        <f t="shared" ref="AH58:AJ58" si="50">AH57-AI57</f>
        <v>32.086454323880389</v>
      </c>
      <c r="AI58" s="15">
        <f t="shared" si="50"/>
        <v>96.541519353411786</v>
      </c>
      <c r="AJ58" s="15">
        <f t="shared" si="50"/>
        <v>10974.618718171696</v>
      </c>
      <c r="AM58" s="286"/>
      <c r="AN58" s="15">
        <f>AN57-AO57</f>
        <v>1368.5130650317988</v>
      </c>
      <c r="AO58" s="15">
        <f t="shared" ref="AO58:AQ58" si="51">AO57-AP57</f>
        <v>36.81890519999979</v>
      </c>
      <c r="AP58" s="15">
        <f t="shared" si="51"/>
        <v>110.7804873999994</v>
      </c>
      <c r="AQ58" s="15">
        <f t="shared" si="51"/>
        <v>12593.2719805</v>
      </c>
    </row>
    <row r="59" spans="2:43" ht="30" x14ac:dyDescent="0.25">
      <c r="B59" s="282" t="s">
        <v>644</v>
      </c>
      <c r="C59" s="282"/>
      <c r="D59" s="282"/>
      <c r="E59" s="282"/>
      <c r="F59" s="282"/>
      <c r="G59" s="282"/>
      <c r="H59" s="282"/>
      <c r="I59" s="282"/>
      <c r="J59" s="282"/>
      <c r="K59" s="282"/>
      <c r="L59" s="282"/>
      <c r="M59" s="282"/>
      <c r="AE59" s="123" t="s">
        <v>597</v>
      </c>
      <c r="AF59" s="174">
        <f>AF58/$AF57</f>
        <v>8.8520363955295556E-2</v>
      </c>
      <c r="AG59" s="174">
        <f t="shared" ref="AG59:AJ59" si="52">AG58/$AF57</f>
        <v>8.8407243838822619E-2</v>
      </c>
      <c r="AH59" s="174">
        <f t="shared" si="52"/>
        <v>2.3785362471634959E-3</v>
      </c>
      <c r="AI59" s="174">
        <f t="shared" si="52"/>
        <v>7.1565247072944886E-3</v>
      </c>
      <c r="AJ59" s="174">
        <f t="shared" si="52"/>
        <v>0.8135373312514238</v>
      </c>
      <c r="AM59" s="173" t="s">
        <v>597</v>
      </c>
      <c r="AN59" s="174">
        <f>AN58/$AN57</f>
        <v>9.6993109163095531E-2</v>
      </c>
      <c r="AO59" s="174">
        <f t="shared" ref="AO59:AQ59" si="53">AO58/$AN57</f>
        <v>2.6095330637170536E-3</v>
      </c>
      <c r="AP59" s="174">
        <f t="shared" si="53"/>
        <v>7.8515464573072243E-3</v>
      </c>
      <c r="AQ59" s="174">
        <f t="shared" si="53"/>
        <v>0.89254581131588018</v>
      </c>
    </row>
    <row r="60" spans="2:43" x14ac:dyDescent="0.25">
      <c r="AE60" s="286" t="str">
        <f>$B$32</f>
        <v>Terrestrial acid/nutri</v>
      </c>
      <c r="AF60" s="15">
        <f>D13</f>
        <v>4.1100009499999999</v>
      </c>
      <c r="AG60" s="15">
        <f>AN60*Calculations!$C$47</f>
        <v>3.9475970200587569</v>
      </c>
      <c r="AH60" s="15">
        <f>AO60*Calculations!$C$47</f>
        <v>2.92072936952122</v>
      </c>
      <c r="AI60" s="15">
        <f>AP60*Calculations!$C$47</f>
        <v>2.8702823338316961</v>
      </c>
      <c r="AJ60" s="15">
        <f>AQ60*Calculations!$C$47</f>
        <v>2.7314971987368608</v>
      </c>
      <c r="AM60" s="286" t="str">
        <f>$B$32</f>
        <v>Terrestrial acid/nutri</v>
      </c>
      <c r="AN60" s="15">
        <f>D32</f>
        <v>4.5298305316700009</v>
      </c>
      <c r="AO60" s="15">
        <f>D51</f>
        <v>3.3515095399999999</v>
      </c>
      <c r="AP60" s="15">
        <f>D70</f>
        <v>3.2936220399999998</v>
      </c>
      <c r="AQ60" s="15">
        <f>D89</f>
        <v>3.1343673999999999</v>
      </c>
    </row>
    <row r="61" spans="2:43" ht="30.95" customHeight="1" x14ac:dyDescent="0.25">
      <c r="B61" s="162" t="s">
        <v>547</v>
      </c>
      <c r="C61" s="162" t="s">
        <v>337</v>
      </c>
      <c r="D61" s="162" t="s">
        <v>595</v>
      </c>
      <c r="E61" s="162" t="s">
        <v>584</v>
      </c>
      <c r="F61" s="162" t="s">
        <v>581</v>
      </c>
      <c r="G61" s="162" t="s">
        <v>335</v>
      </c>
      <c r="I61" s="122" t="s">
        <v>547</v>
      </c>
      <c r="J61" s="122" t="s">
        <v>337</v>
      </c>
      <c r="K61" s="162" t="s">
        <v>584</v>
      </c>
      <c r="L61" s="162" t="s">
        <v>581</v>
      </c>
      <c r="M61" s="162" t="s">
        <v>335</v>
      </c>
      <c r="AE61" s="286"/>
      <c r="AF61" s="15">
        <f>AF60-AG60</f>
        <v>0.16240392994124297</v>
      </c>
      <c r="AG61" s="15">
        <f>AG60-AH60</f>
        <v>1.0268676505375369</v>
      </c>
      <c r="AH61" s="15">
        <f t="shared" ref="AH61:AJ61" si="54">AH60-AI60</f>
        <v>5.0447035689523911E-2</v>
      </c>
      <c r="AI61" s="15">
        <f t="shared" si="54"/>
        <v>0.13878513509483525</v>
      </c>
      <c r="AJ61" s="15">
        <f t="shared" si="54"/>
        <v>2.7314971987368608</v>
      </c>
      <c r="AM61" s="286"/>
      <c r="AN61" s="15">
        <f>AN60-AO60</f>
        <v>1.178320991670001</v>
      </c>
      <c r="AO61" s="15">
        <f t="shared" ref="AO61:AQ61" si="55">AO60-AP60</f>
        <v>5.7887500000000092E-2</v>
      </c>
      <c r="AP61" s="15">
        <f t="shared" si="55"/>
        <v>0.15925463999999989</v>
      </c>
      <c r="AQ61" s="15">
        <f t="shared" si="55"/>
        <v>3.1343673999999999</v>
      </c>
    </row>
    <row r="62" spans="2:43" ht="30" x14ac:dyDescent="0.25">
      <c r="B62" s="123" t="s">
        <v>550</v>
      </c>
      <c r="C62" s="11" t="s">
        <v>551</v>
      </c>
      <c r="D62" s="15">
        <f>SUM(E62:G62)</f>
        <v>3.4499778000000005</v>
      </c>
      <c r="E62" s="178">
        <f>D81</f>
        <v>3.3902066700000004</v>
      </c>
      <c r="F62" s="178">
        <v>0.20771533</v>
      </c>
      <c r="G62" s="178">
        <v>-0.1479442</v>
      </c>
      <c r="H62" s="179">
        <f>SUM(E62:F62)</f>
        <v>3.5979220000000005</v>
      </c>
      <c r="I62" s="123" t="s">
        <v>550</v>
      </c>
      <c r="J62" s="11" t="s">
        <v>29</v>
      </c>
      <c r="K62" s="180">
        <f>E62/$H62</f>
        <v>0.94226797301331155</v>
      </c>
      <c r="L62" s="180">
        <f t="shared" ref="L62:M76" si="56">F62/$H62</f>
        <v>5.7732026986688417E-2</v>
      </c>
      <c r="M62" s="180">
        <f t="shared" si="56"/>
        <v>-4.1119346111449878E-2</v>
      </c>
      <c r="AE62" s="123" t="s">
        <v>597</v>
      </c>
      <c r="AF62" s="174">
        <f>AF61/$AF60</f>
        <v>3.9514329051734888E-2</v>
      </c>
      <c r="AG62" s="174">
        <f t="shared" ref="AG62:AJ62" si="57">AG61/$AF60</f>
        <v>0.24984608593278718</v>
      </c>
      <c r="AH62" s="174">
        <f t="shared" si="57"/>
        <v>1.2274215092218875E-2</v>
      </c>
      <c r="AI62" s="174">
        <f t="shared" si="57"/>
        <v>3.3767664967287968E-2</v>
      </c>
      <c r="AJ62" s="174">
        <f t="shared" si="57"/>
        <v>0.66459770495597104</v>
      </c>
      <c r="AM62" s="173" t="s">
        <v>597</v>
      </c>
      <c r="AN62" s="174">
        <f>AN61/$AN60</f>
        <v>0.26012474052436407</v>
      </c>
      <c r="AO62" s="174">
        <f t="shared" ref="AO62:AQ62" si="58">AO61/$AN60</f>
        <v>1.2779175643610415E-2</v>
      </c>
      <c r="AP62" s="174">
        <f t="shared" si="58"/>
        <v>3.5156864895183597E-2</v>
      </c>
      <c r="AQ62" s="174">
        <f t="shared" si="58"/>
        <v>0.69193921893684196</v>
      </c>
    </row>
    <row r="63" spans="2:43" ht="18" x14ac:dyDescent="0.25">
      <c r="B63" s="123" t="s">
        <v>552</v>
      </c>
      <c r="C63" s="11" t="s">
        <v>551</v>
      </c>
      <c r="D63" s="15">
        <f t="shared" ref="D63:D76" si="59">SUM(E63:G63)</f>
        <v>4.2560306200000007</v>
      </c>
      <c r="E63" s="178">
        <f t="shared" ref="E63:E76" si="60">D82</f>
        <v>4.2370427199999998</v>
      </c>
      <c r="F63" s="178">
        <v>7.8388570000000005E-2</v>
      </c>
      <c r="G63" s="178">
        <v>-5.9400670000000003E-2</v>
      </c>
      <c r="H63" s="179">
        <f t="shared" ref="H63:H76" si="61">SUM(E63:F63)</f>
        <v>4.3154312900000003</v>
      </c>
      <c r="I63" s="123" t="s">
        <v>552</v>
      </c>
      <c r="J63" s="11" t="s">
        <v>29</v>
      </c>
      <c r="K63" s="180">
        <f t="shared" ref="K63:K76" si="62">E63/$H63</f>
        <v>0.98183528719791058</v>
      </c>
      <c r="L63" s="180">
        <f t="shared" si="56"/>
        <v>1.816471280208936E-2</v>
      </c>
      <c r="M63" s="180">
        <f t="shared" si="56"/>
        <v>-1.376471226355686E-2</v>
      </c>
      <c r="AE63" s="286" t="str">
        <f>$B$33</f>
        <v>Land occupation</v>
      </c>
      <c r="AF63" s="15">
        <f>D14</f>
        <v>13.362</v>
      </c>
      <c r="AG63" s="15">
        <f>AN63*Calculations!$C$47</f>
        <v>12.746183507650544</v>
      </c>
      <c r="AH63" s="15">
        <f>AO63*Calculations!$C$47</f>
        <v>6.7391637543881862</v>
      </c>
      <c r="AI63" s="15">
        <f>AP63*Calculations!$C$47</f>
        <v>6.7039573836539104</v>
      </c>
      <c r="AJ63" s="15">
        <f>AQ63*Calculations!$C$47</f>
        <v>6.6096830352615203</v>
      </c>
      <c r="AM63" s="286" t="str">
        <f>$B$33</f>
        <v>Land occupation</v>
      </c>
      <c r="AN63" s="15">
        <f>D33</f>
        <v>14.626125950000002</v>
      </c>
      <c r="AO63" s="15">
        <f>D52</f>
        <v>7.7331271599999996</v>
      </c>
      <c r="AP63" s="15">
        <f>D71</f>
        <v>7.6927281799999996</v>
      </c>
      <c r="AQ63" s="15">
        <f>D90</f>
        <v>7.5845492499999994</v>
      </c>
    </row>
    <row r="64" spans="2:43" x14ac:dyDescent="0.25">
      <c r="B64" s="123" t="s">
        <v>553</v>
      </c>
      <c r="C64" s="11" t="s">
        <v>554</v>
      </c>
      <c r="D64" s="15">
        <f t="shared" si="59"/>
        <v>0.21441906000000002</v>
      </c>
      <c r="E64" s="178">
        <f t="shared" si="60"/>
        <v>0.21479338000000001</v>
      </c>
      <c r="F64" s="178">
        <v>1.752927E-2</v>
      </c>
      <c r="G64" s="178">
        <v>-1.790359E-2</v>
      </c>
      <c r="H64" s="179">
        <f t="shared" si="61"/>
        <v>0.23232265000000002</v>
      </c>
      <c r="I64" s="123" t="s">
        <v>553</v>
      </c>
      <c r="J64" s="11" t="s">
        <v>29</v>
      </c>
      <c r="K64" s="180">
        <f t="shared" si="62"/>
        <v>0.92454773565986781</v>
      </c>
      <c r="L64" s="180">
        <f t="shared" si="56"/>
        <v>7.5452264340132136E-2</v>
      </c>
      <c r="M64" s="180">
        <f t="shared" si="56"/>
        <v>-7.7063471856919669E-2</v>
      </c>
      <c r="AE64" s="286"/>
      <c r="AF64" s="15">
        <f>AF63-AG63</f>
        <v>0.61581649234945601</v>
      </c>
      <c r="AG64" s="15">
        <f>AG63-AH63</f>
        <v>6.0070197532623579</v>
      </c>
      <c r="AH64" s="15">
        <f t="shared" ref="AH64:AJ64" si="63">AH63-AI63</f>
        <v>3.5206370734275794E-2</v>
      </c>
      <c r="AI64" s="15">
        <f t="shared" si="63"/>
        <v>9.4274348392390017E-2</v>
      </c>
      <c r="AJ64" s="15">
        <f t="shared" si="63"/>
        <v>6.6096830352615203</v>
      </c>
      <c r="AM64" s="286"/>
      <c r="AN64" s="15">
        <f>AN63-AO63</f>
        <v>6.8929987900000027</v>
      </c>
      <c r="AO64" s="15">
        <f t="shared" ref="AO64:AQ64" si="64">AO63-AP63</f>
        <v>4.0398979999999973E-2</v>
      </c>
      <c r="AP64" s="15">
        <f t="shared" si="64"/>
        <v>0.10817893000000023</v>
      </c>
      <c r="AQ64" s="15">
        <f t="shared" si="64"/>
        <v>7.5845492499999994</v>
      </c>
    </row>
    <row r="65" spans="2:43" ht="30" x14ac:dyDescent="0.25">
      <c r="B65" s="123" t="s">
        <v>555</v>
      </c>
      <c r="C65" s="11" t="s">
        <v>556</v>
      </c>
      <c r="D65" s="15">
        <f t="shared" si="59"/>
        <v>8222.9028298999983</v>
      </c>
      <c r="E65" s="178">
        <f t="shared" si="60"/>
        <v>7673.3298332999993</v>
      </c>
      <c r="F65" s="178">
        <v>626.00058100000001</v>
      </c>
      <c r="G65" s="178">
        <v>-76.427584400000001</v>
      </c>
      <c r="H65" s="179">
        <f t="shared" si="61"/>
        <v>8299.3304142999987</v>
      </c>
      <c r="I65" s="123" t="s">
        <v>555</v>
      </c>
      <c r="J65" s="11" t="s">
        <v>29</v>
      </c>
      <c r="K65" s="180">
        <f t="shared" si="62"/>
        <v>0.9245721582645533</v>
      </c>
      <c r="L65" s="180">
        <f t="shared" si="56"/>
        <v>7.5427841735446755E-2</v>
      </c>
      <c r="M65" s="180">
        <f t="shared" si="56"/>
        <v>-9.208885607001855E-3</v>
      </c>
      <c r="AE65" s="123" t="s">
        <v>597</v>
      </c>
      <c r="AF65" s="174">
        <f>AF64/$AF63</f>
        <v>4.6087149554666668E-2</v>
      </c>
      <c r="AG65" s="174">
        <f t="shared" ref="AG65:AJ65" si="65">AG64/$AF63</f>
        <v>0.44955992765022884</v>
      </c>
      <c r="AH65" s="174">
        <f t="shared" si="65"/>
        <v>2.6348129572126774E-3</v>
      </c>
      <c r="AI65" s="174">
        <f t="shared" si="65"/>
        <v>7.0554070043698557E-3</v>
      </c>
      <c r="AJ65" s="174">
        <f t="shared" si="65"/>
        <v>0.49466270283352193</v>
      </c>
      <c r="AM65" s="173" t="s">
        <v>597</v>
      </c>
      <c r="AN65" s="174">
        <f>AN64/$AN63</f>
        <v>0.47127987367017043</v>
      </c>
      <c r="AO65" s="174">
        <f t="shared" ref="AO65:AQ65" si="66">AO64/$AN63</f>
        <v>2.7621107693250766E-3</v>
      </c>
      <c r="AP65" s="174">
        <f t="shared" si="66"/>
        <v>7.3962804894347443E-3</v>
      </c>
      <c r="AQ65" s="174">
        <f t="shared" si="66"/>
        <v>0.51856173507106973</v>
      </c>
    </row>
    <row r="66" spans="2:43" x14ac:dyDescent="0.25">
      <c r="B66" s="123" t="s">
        <v>557</v>
      </c>
      <c r="C66" s="11" t="s">
        <v>558</v>
      </c>
      <c r="D66" s="15">
        <f t="shared" si="59"/>
        <v>4.4119969999999996E-5</v>
      </c>
      <c r="E66" s="178">
        <f t="shared" si="60"/>
        <v>4.2598029999999996E-5</v>
      </c>
      <c r="F66" s="178">
        <v>1.8566999999999999E-6</v>
      </c>
      <c r="G66" s="178">
        <v>-3.3476000000000001E-7</v>
      </c>
      <c r="H66" s="179">
        <f t="shared" si="61"/>
        <v>4.4454729999999995E-5</v>
      </c>
      <c r="I66" s="123" t="s">
        <v>557</v>
      </c>
      <c r="J66" s="11" t="s">
        <v>29</v>
      </c>
      <c r="K66" s="180">
        <f t="shared" si="62"/>
        <v>0.95823391571605543</v>
      </c>
      <c r="L66" s="180">
        <f t="shared" si="56"/>
        <v>4.1766084283944592E-2</v>
      </c>
      <c r="M66" s="180">
        <f t="shared" si="56"/>
        <v>-7.5303572870648421E-3</v>
      </c>
      <c r="AE66" s="286" t="str">
        <f>$B$34</f>
        <v>Aquatic acidification</v>
      </c>
      <c r="AF66" s="15">
        <f>D15</f>
        <v>1.3346033900000001</v>
      </c>
      <c r="AG66" s="15">
        <f>AN66*Calculations!$C$47</f>
        <v>1.2917534392666874</v>
      </c>
      <c r="AH66" s="15">
        <f>AO66*Calculations!$C$47</f>
        <v>0.90931968986045708</v>
      </c>
      <c r="AI66" s="15">
        <f>AP66*Calculations!$C$47</f>
        <v>0.89202380983895024</v>
      </c>
      <c r="AJ66" s="15">
        <f>AQ66*Calculations!$C$47</f>
        <v>0.8437580207475599</v>
      </c>
      <c r="AM66" s="286" t="str">
        <f>$B$34</f>
        <v>Aquatic acidification</v>
      </c>
      <c r="AN66" s="15">
        <f>D34</f>
        <v>1.4822749482399997</v>
      </c>
      <c r="AO66" s="15">
        <f>D53</f>
        <v>1.0434358099999999</v>
      </c>
      <c r="AP66" s="15">
        <f>D72</f>
        <v>1.0235889499999999</v>
      </c>
      <c r="AQ66" s="15">
        <f>D91</f>
        <v>0.96820441000000002</v>
      </c>
    </row>
    <row r="67" spans="2:43" ht="18" x14ac:dyDescent="0.25">
      <c r="B67" s="123" t="s">
        <v>559</v>
      </c>
      <c r="C67" s="11" t="s">
        <v>560</v>
      </c>
      <c r="D67" s="15">
        <f t="shared" si="59"/>
        <v>9.4698290000000004E-2</v>
      </c>
      <c r="E67" s="178">
        <f t="shared" si="60"/>
        <v>9.3889340000000002E-2</v>
      </c>
      <c r="F67" s="178">
        <v>1.60038E-3</v>
      </c>
      <c r="G67" s="178">
        <v>-7.9142999999999998E-4</v>
      </c>
      <c r="H67" s="179">
        <f t="shared" si="61"/>
        <v>9.548972E-2</v>
      </c>
      <c r="I67" s="123" t="s">
        <v>559</v>
      </c>
      <c r="J67" s="11" t="s">
        <v>29</v>
      </c>
      <c r="K67" s="180">
        <f t="shared" si="62"/>
        <v>0.98324029015898262</v>
      </c>
      <c r="L67" s="180">
        <f t="shared" si="56"/>
        <v>1.6759709841017441E-2</v>
      </c>
      <c r="M67" s="180">
        <f t="shared" si="56"/>
        <v>-8.288117296814777E-3</v>
      </c>
      <c r="AE67" s="286"/>
      <c r="AF67" s="15">
        <f>AF66-AG66</f>
        <v>4.2849950733312658E-2</v>
      </c>
      <c r="AG67" s="15">
        <f>AG66-AH66</f>
        <v>0.38243374940623032</v>
      </c>
      <c r="AH67" s="15">
        <f t="shared" ref="AH67:AJ67" si="67">AH66-AI66</f>
        <v>1.7295880021506838E-2</v>
      </c>
      <c r="AI67" s="15">
        <f t="shared" si="67"/>
        <v>4.8265789091390343E-2</v>
      </c>
      <c r="AJ67" s="15">
        <f t="shared" si="67"/>
        <v>0.8437580207475599</v>
      </c>
      <c r="AM67" s="286"/>
      <c r="AN67" s="15">
        <f>AN66-AO66</f>
        <v>0.43883913823999987</v>
      </c>
      <c r="AO67" s="15">
        <f t="shared" ref="AO67:AQ67" si="68">AO66-AP66</f>
        <v>1.9846859999999911E-2</v>
      </c>
      <c r="AP67" s="15">
        <f t="shared" si="68"/>
        <v>5.5384539999999927E-2</v>
      </c>
      <c r="AQ67" s="15">
        <f t="shared" si="68"/>
        <v>0.96820441000000002</v>
      </c>
    </row>
    <row r="68" spans="2:43" ht="30" x14ac:dyDescent="0.25">
      <c r="B68" s="123" t="s">
        <v>561</v>
      </c>
      <c r="C68" s="11" t="s">
        <v>562</v>
      </c>
      <c r="D68" s="15">
        <f t="shared" si="59"/>
        <v>20407.093761</v>
      </c>
      <c r="E68" s="178">
        <f t="shared" si="60"/>
        <v>19935.480142</v>
      </c>
      <c r="F68" s="178">
        <v>727.23558800000001</v>
      </c>
      <c r="G68" s="178">
        <v>-255.62196900000001</v>
      </c>
      <c r="H68" s="179">
        <f t="shared" si="61"/>
        <v>20662.71573</v>
      </c>
      <c r="I68" s="123" t="s">
        <v>561</v>
      </c>
      <c r="J68" s="11" t="s">
        <v>29</v>
      </c>
      <c r="K68" s="180">
        <f t="shared" si="62"/>
        <v>0.96480445273976578</v>
      </c>
      <c r="L68" s="180">
        <f t="shared" si="56"/>
        <v>3.5195547260234217E-2</v>
      </c>
      <c r="M68" s="180">
        <f t="shared" si="56"/>
        <v>-1.2371170002056647E-2</v>
      </c>
      <c r="AE68" s="123" t="s">
        <v>597</v>
      </c>
      <c r="AF68" s="174">
        <f>AF67/$AF66</f>
        <v>3.2106879882354153E-2</v>
      </c>
      <c r="AG68" s="174">
        <f t="shared" ref="AG68:AJ68" si="69">AG67/$AF66</f>
        <v>0.28655235875448382</v>
      </c>
      <c r="AH68" s="174">
        <f t="shared" si="69"/>
        <v>1.2959565479229629E-2</v>
      </c>
      <c r="AI68" s="174">
        <f t="shared" si="69"/>
        <v>3.6164893220742039E-2</v>
      </c>
      <c r="AJ68" s="174">
        <f t="shared" si="69"/>
        <v>0.6322163026631904</v>
      </c>
      <c r="AM68" s="173" t="s">
        <v>597</v>
      </c>
      <c r="AN68" s="174">
        <f>AN67/$AN66</f>
        <v>0.29605785266833373</v>
      </c>
      <c r="AO68" s="174">
        <f t="shared" ref="AO68:AQ68" si="70">AO67/$AN66</f>
        <v>1.3389459238696142E-2</v>
      </c>
      <c r="AP68" s="174">
        <f t="shared" si="70"/>
        <v>3.7364552417054303E-2</v>
      </c>
      <c r="AQ68" s="174">
        <f t="shared" si="70"/>
        <v>0.65318813567591583</v>
      </c>
    </row>
    <row r="69" spans="2:43" x14ac:dyDescent="0.25">
      <c r="B69" s="123" t="s">
        <v>563</v>
      </c>
      <c r="C69" s="11" t="s">
        <v>564</v>
      </c>
      <c r="D69" s="15">
        <f t="shared" si="59"/>
        <v>12704.052467899999</v>
      </c>
      <c r="E69" s="178">
        <f t="shared" si="60"/>
        <v>12593.2719805</v>
      </c>
      <c r="F69" s="178">
        <v>173.821597</v>
      </c>
      <c r="G69" s="178">
        <v>-63.041109599999999</v>
      </c>
      <c r="H69" s="179">
        <f t="shared" si="61"/>
        <v>12767.0935775</v>
      </c>
      <c r="I69" s="123" t="s">
        <v>563</v>
      </c>
      <c r="J69" s="11" t="s">
        <v>29</v>
      </c>
      <c r="K69" s="180">
        <f t="shared" si="62"/>
        <v>0.98638518657791208</v>
      </c>
      <c r="L69" s="180">
        <f t="shared" si="56"/>
        <v>1.361481342208796E-2</v>
      </c>
      <c r="M69" s="180">
        <f t="shared" si="56"/>
        <v>-4.9377808047949192E-3</v>
      </c>
      <c r="AE69" s="286" t="str">
        <f>$B$35</f>
        <v>Aquatic eutrophication</v>
      </c>
      <c r="AF69" s="15">
        <f>D16</f>
        <v>0.10822</v>
      </c>
      <c r="AG69" s="15">
        <f>AN69*Calculations!$C$47</f>
        <v>0.10613977240891007</v>
      </c>
      <c r="AH69" s="15">
        <f>AO69*Calculations!$C$47</f>
        <v>3.0611030317695097E-2</v>
      </c>
      <c r="AI69" s="15">
        <f>AP69*Calculations!$C$47</f>
        <v>3.0284761854006029E-2</v>
      </c>
      <c r="AJ69" s="15">
        <f>AQ69*Calculations!$C$47</f>
        <v>2.9936323274351664E-2</v>
      </c>
      <c r="AM69" s="286" t="str">
        <f>$B$35</f>
        <v>Aquatic eutrophication</v>
      </c>
      <c r="AN69" s="15">
        <f>D35</f>
        <v>0.12179439269999999</v>
      </c>
      <c r="AO69" s="15">
        <f>D54</f>
        <v>3.5125870000000003E-2</v>
      </c>
      <c r="AP69" s="15">
        <f>D73</f>
        <v>3.4751480000000001E-2</v>
      </c>
      <c r="AQ69" s="15">
        <f>D92</f>
        <v>3.4351650000000004E-2</v>
      </c>
    </row>
    <row r="70" spans="2:43" ht="18" x14ac:dyDescent="0.25">
      <c r="B70" s="123" t="s">
        <v>565</v>
      </c>
      <c r="C70" s="11" t="s">
        <v>566</v>
      </c>
      <c r="D70" s="15">
        <f t="shared" si="59"/>
        <v>3.2936220399999998</v>
      </c>
      <c r="E70" s="178">
        <f t="shared" si="60"/>
        <v>3.1343673999999999</v>
      </c>
      <c r="F70" s="178">
        <v>0.27328615000000001</v>
      </c>
      <c r="G70" s="178">
        <v>-0.11403151</v>
      </c>
      <c r="H70" s="179">
        <f t="shared" si="61"/>
        <v>3.40765355</v>
      </c>
      <c r="I70" s="123" t="s">
        <v>565</v>
      </c>
      <c r="J70" s="11" t="s">
        <v>29</v>
      </c>
      <c r="K70" s="180">
        <f t="shared" si="62"/>
        <v>0.91980224926327969</v>
      </c>
      <c r="L70" s="180">
        <f t="shared" si="56"/>
        <v>8.0197750736720294E-2</v>
      </c>
      <c r="M70" s="180">
        <f t="shared" si="56"/>
        <v>-3.3463351930245376E-2</v>
      </c>
      <c r="AE70" s="286"/>
      <c r="AF70" s="15">
        <f>AF69-AG69</f>
        <v>2.0802275910899309E-3</v>
      </c>
      <c r="AG70" s="15">
        <f>AG69-AH69</f>
        <v>7.5528742091214962E-2</v>
      </c>
      <c r="AH70" s="15">
        <f t="shared" ref="AH70:AJ70" si="71">AH69-AI69</f>
        <v>3.262684636890674E-4</v>
      </c>
      <c r="AI70" s="15">
        <f t="shared" si="71"/>
        <v>3.484385796543657E-4</v>
      </c>
      <c r="AJ70" s="15">
        <f t="shared" si="71"/>
        <v>2.9936323274351664E-2</v>
      </c>
      <c r="AM70" s="286"/>
      <c r="AN70" s="15">
        <f>AN69-AO69</f>
        <v>8.6668522699999986E-2</v>
      </c>
      <c r="AO70" s="15">
        <f t="shared" ref="AO70:AQ70" si="72">AO69-AP69</f>
        <v>3.7439000000000222E-4</v>
      </c>
      <c r="AP70" s="15">
        <f t="shared" si="72"/>
        <v>3.9982999999999685E-4</v>
      </c>
      <c r="AQ70" s="15">
        <f t="shared" si="72"/>
        <v>3.4351650000000004E-2</v>
      </c>
    </row>
    <row r="71" spans="2:43" ht="30" x14ac:dyDescent="0.25">
      <c r="B71" s="123" t="s">
        <v>567</v>
      </c>
      <c r="C71" s="11" t="s">
        <v>568</v>
      </c>
      <c r="D71" s="15">
        <f t="shared" si="59"/>
        <v>7.6927281799999996</v>
      </c>
      <c r="E71" s="178">
        <f t="shared" si="60"/>
        <v>7.5845492499999994</v>
      </c>
      <c r="F71" s="178">
        <v>0.19072311</v>
      </c>
      <c r="G71" s="178">
        <v>-8.2544179999999995E-2</v>
      </c>
      <c r="H71" s="179">
        <f t="shared" si="61"/>
        <v>7.7752723599999998</v>
      </c>
      <c r="I71" s="123" t="s">
        <v>567</v>
      </c>
      <c r="J71" s="11" t="s">
        <v>29</v>
      </c>
      <c r="K71" s="180">
        <f t="shared" si="62"/>
        <v>0.97547055573497621</v>
      </c>
      <c r="L71" s="180">
        <f t="shared" si="56"/>
        <v>2.4529444265023792E-2</v>
      </c>
      <c r="M71" s="180">
        <f t="shared" si="56"/>
        <v>-1.0616242901618432E-2</v>
      </c>
      <c r="AE71" s="123" t="s">
        <v>597</v>
      </c>
      <c r="AF71" s="174">
        <f>AF70/$AF69</f>
        <v>1.9222210229993819E-2</v>
      </c>
      <c r="AG71" s="174">
        <f t="shared" ref="AG71:AJ71" si="73">AG70/$AF69</f>
        <v>0.6979185186769078</v>
      </c>
      <c r="AH71" s="174">
        <f t="shared" si="73"/>
        <v>3.0148629060161468E-3</v>
      </c>
      <c r="AI71" s="174">
        <f t="shared" si="73"/>
        <v>3.2197244470002374E-3</v>
      </c>
      <c r="AJ71" s="174">
        <f t="shared" si="73"/>
        <v>0.27662468374008192</v>
      </c>
      <c r="AM71" s="173" t="s">
        <v>597</v>
      </c>
      <c r="AN71" s="174">
        <f>AN70/$AN69</f>
        <v>0.71159698553183059</v>
      </c>
      <c r="AO71" s="174">
        <f t="shared" ref="AO71:AQ71" si="74">AO70/$AN69</f>
        <v>3.0739510391269618E-3</v>
      </c>
      <c r="AP71" s="174">
        <f t="shared" si="74"/>
        <v>3.2828276502420367E-3</v>
      </c>
      <c r="AQ71" s="174">
        <f t="shared" si="74"/>
        <v>0.28204623577880039</v>
      </c>
    </row>
    <row r="72" spans="2:43" ht="18" x14ac:dyDescent="0.25">
      <c r="B72" s="123" t="s">
        <v>569</v>
      </c>
      <c r="C72" s="11" t="s">
        <v>566</v>
      </c>
      <c r="D72" s="15">
        <f t="shared" si="59"/>
        <v>1.0235889499999999</v>
      </c>
      <c r="E72" s="178">
        <f t="shared" si="60"/>
        <v>0.96820441000000002</v>
      </c>
      <c r="F72" s="178">
        <v>9.3696779999999993E-2</v>
      </c>
      <c r="G72" s="178">
        <v>-3.8312239999999997E-2</v>
      </c>
      <c r="H72" s="179">
        <f t="shared" si="61"/>
        <v>1.0619011899999999</v>
      </c>
      <c r="I72" s="123" t="s">
        <v>569</v>
      </c>
      <c r="J72" s="11" t="s">
        <v>29</v>
      </c>
      <c r="K72" s="180">
        <f t="shared" si="62"/>
        <v>0.91176506733173557</v>
      </c>
      <c r="L72" s="180">
        <f t="shared" si="56"/>
        <v>8.8234932668264543E-2</v>
      </c>
      <c r="M72" s="180">
        <f t="shared" si="56"/>
        <v>-3.6078912389202612E-2</v>
      </c>
      <c r="AE72" s="286" t="str">
        <f>$B$36</f>
        <v>Global warming</v>
      </c>
      <c r="AF72" s="15">
        <f>D17</f>
        <v>300.10000002370003</v>
      </c>
      <c r="AG72" s="15">
        <f>AN72*Calculations!$C$47</f>
        <v>282.13305033519038</v>
      </c>
      <c r="AH72" s="15">
        <f>AO72*Calculations!$C$47</f>
        <v>231.22786647630886</v>
      </c>
      <c r="AI72" s="15">
        <f>AP72*Calculations!$C$47</f>
        <v>228.70270305227913</v>
      </c>
      <c r="AJ72" s="15">
        <f>AQ72*Calculations!$C$47</f>
        <v>222.93471089231809</v>
      </c>
      <c r="AM72" s="286" t="str">
        <f>$B$36</f>
        <v>Global warming</v>
      </c>
      <c r="AN72" s="15">
        <f>D36</f>
        <v>323.74502739454198</v>
      </c>
      <c r="AO72" s="15">
        <f>D55</f>
        <v>265.33180666999999</v>
      </c>
      <c r="AP72" s="15">
        <f>D74</f>
        <v>262.43420534000001</v>
      </c>
      <c r="AQ72" s="15">
        <f>D93</f>
        <v>255.81548846999999</v>
      </c>
    </row>
    <row r="73" spans="2:43" ht="18" x14ac:dyDescent="0.25">
      <c r="B73" s="123" t="s">
        <v>570</v>
      </c>
      <c r="C73" s="11" t="s">
        <v>571</v>
      </c>
      <c r="D73" s="15">
        <f t="shared" si="59"/>
        <v>3.4751480000000001E-2</v>
      </c>
      <c r="E73" s="178">
        <f t="shared" si="60"/>
        <v>3.4351650000000004E-2</v>
      </c>
      <c r="F73" s="178">
        <v>1.7674699999999999E-3</v>
      </c>
      <c r="G73" s="178">
        <v>-1.36764E-3</v>
      </c>
      <c r="H73" s="179">
        <f t="shared" si="61"/>
        <v>3.6119120000000005E-2</v>
      </c>
      <c r="I73" s="123" t="s">
        <v>570</v>
      </c>
      <c r="J73" s="11" t="s">
        <v>29</v>
      </c>
      <c r="K73" s="180">
        <f t="shared" si="62"/>
        <v>0.95106552983572135</v>
      </c>
      <c r="L73" s="180">
        <f t="shared" si="56"/>
        <v>4.8934470164278633E-2</v>
      </c>
      <c r="M73" s="180">
        <f t="shared" si="56"/>
        <v>-3.7864709882189818E-2</v>
      </c>
      <c r="AE73" s="286"/>
      <c r="AF73" s="15">
        <f>AF72-AG72</f>
        <v>17.966949688509658</v>
      </c>
      <c r="AG73" s="15">
        <f>AG72-AH72</f>
        <v>50.905183858881514</v>
      </c>
      <c r="AH73" s="15">
        <f t="shared" ref="AH73:AJ73" si="75">AH72-AI72</f>
        <v>2.5251634240297278</v>
      </c>
      <c r="AI73" s="15">
        <f t="shared" si="75"/>
        <v>5.7679921599610395</v>
      </c>
      <c r="AJ73" s="15">
        <f t="shared" si="75"/>
        <v>222.93471089231809</v>
      </c>
      <c r="AM73" s="286"/>
      <c r="AN73" s="15">
        <f>AN72-AO72</f>
        <v>58.413220724541986</v>
      </c>
      <c r="AO73" s="15">
        <f t="shared" ref="AO73:AQ73" si="76">AO72-AP72</f>
        <v>2.8976013299999863</v>
      </c>
      <c r="AP73" s="15">
        <f t="shared" si="76"/>
        <v>6.6187168700000143</v>
      </c>
      <c r="AQ73" s="15">
        <f t="shared" si="76"/>
        <v>255.81548846999999</v>
      </c>
    </row>
    <row r="74" spans="2:43" ht="30" x14ac:dyDescent="0.25">
      <c r="B74" s="171" t="s">
        <v>572</v>
      </c>
      <c r="C74" s="161" t="s">
        <v>573</v>
      </c>
      <c r="D74" s="185">
        <f t="shared" si="59"/>
        <v>262.43420534000001</v>
      </c>
      <c r="E74" s="186">
        <f t="shared" si="60"/>
        <v>255.81548846999999</v>
      </c>
      <c r="F74" s="186">
        <v>13.679540100000001</v>
      </c>
      <c r="G74" s="186">
        <v>-7.0608232299999996</v>
      </c>
      <c r="H74" s="179">
        <f t="shared" si="61"/>
        <v>269.49502856999999</v>
      </c>
      <c r="I74" s="123" t="s">
        <v>572</v>
      </c>
      <c r="J74" s="11" t="s">
        <v>29</v>
      </c>
      <c r="K74" s="180">
        <f t="shared" si="62"/>
        <v>0.949240102229022</v>
      </c>
      <c r="L74" s="180">
        <f t="shared" si="56"/>
        <v>5.0759897770978023E-2</v>
      </c>
      <c r="M74" s="180">
        <f t="shared" si="56"/>
        <v>-2.6200198450658938E-2</v>
      </c>
      <c r="AE74" s="123" t="s">
        <v>597</v>
      </c>
      <c r="AF74" s="174">
        <f>AF73/$AF72</f>
        <v>5.9869875665080771E-2</v>
      </c>
      <c r="AG74" s="174">
        <f t="shared" ref="AG74:AJ74" si="77">AG73/$AF72</f>
        <v>0.16962740371496615</v>
      </c>
      <c r="AH74" s="174">
        <f t="shared" si="77"/>
        <v>8.4144066105641662E-3</v>
      </c>
      <c r="AI74" s="174">
        <f t="shared" si="77"/>
        <v>1.9220233787089369E-2</v>
      </c>
      <c r="AJ74" s="174">
        <f t="shared" si="77"/>
        <v>0.74286808022229955</v>
      </c>
      <c r="AM74" s="173" t="s">
        <v>597</v>
      </c>
      <c r="AN74" s="174">
        <f>AN73/$AN72</f>
        <v>0.18042970789279458</v>
      </c>
      <c r="AO74" s="174">
        <f t="shared" ref="AO74:AQ74" si="78">AO73/$AN72</f>
        <v>8.9502574087994696E-3</v>
      </c>
      <c r="AP74" s="174">
        <f t="shared" si="78"/>
        <v>2.044422712301279E-2</v>
      </c>
      <c r="AQ74" s="174">
        <f t="shared" si="78"/>
        <v>0.79017580757539319</v>
      </c>
    </row>
    <row r="75" spans="2:43" x14ac:dyDescent="0.25">
      <c r="B75" s="123" t="s">
        <v>574</v>
      </c>
      <c r="C75" s="11" t="s">
        <v>575</v>
      </c>
      <c r="D75" s="15">
        <f t="shared" si="59"/>
        <v>4661.1687651000002</v>
      </c>
      <c r="E75" s="178">
        <f t="shared" si="60"/>
        <v>4475.2310362999997</v>
      </c>
      <c r="F75" s="178">
        <v>278.581006</v>
      </c>
      <c r="G75" s="178">
        <v>-92.6432772</v>
      </c>
      <c r="H75" s="179">
        <f t="shared" si="61"/>
        <v>4753.8120423</v>
      </c>
      <c r="I75" s="123" t="s">
        <v>574</v>
      </c>
      <c r="J75" s="11" t="s">
        <v>29</v>
      </c>
      <c r="K75" s="180">
        <f t="shared" si="62"/>
        <v>0.94139839700830563</v>
      </c>
      <c r="L75" s="180">
        <f t="shared" si="56"/>
        <v>5.8601602991694285E-2</v>
      </c>
      <c r="M75" s="180">
        <f t="shared" si="56"/>
        <v>-1.9488207858377404E-2</v>
      </c>
      <c r="AE75" s="286" t="str">
        <f>$B$37</f>
        <v>Non-renewable energy</v>
      </c>
      <c r="AF75" s="15">
        <f>D18</f>
        <v>5038.03</v>
      </c>
      <c r="AG75" s="15">
        <f>AN75*Calculations!$C$47</f>
        <v>4739.5687366032807</v>
      </c>
      <c r="AH75" s="15">
        <f>AO75*Calculations!$C$47</f>
        <v>4113.4783641578433</v>
      </c>
      <c r="AI75" s="15">
        <f>AP75*Calculations!$C$47</f>
        <v>4062.0539330234242</v>
      </c>
      <c r="AJ75" s="15">
        <f>AQ75*Calculations!$C$47</f>
        <v>3900.0153713166201</v>
      </c>
      <c r="AM75" s="286" t="str">
        <f>$B$37</f>
        <v>Non-renewable energy</v>
      </c>
      <c r="AN75" s="15">
        <f>D37</f>
        <v>5438.6106436200007</v>
      </c>
      <c r="AO75" s="15">
        <f>D56</f>
        <v>4720.1778172000004</v>
      </c>
      <c r="AP75" s="15">
        <f>D75</f>
        <v>4661.1687651000002</v>
      </c>
      <c r="AQ75" s="15">
        <f>D94</f>
        <v>4475.2310362999997</v>
      </c>
    </row>
    <row r="76" spans="2:43" x14ac:dyDescent="0.25">
      <c r="B76" s="123" t="s">
        <v>576</v>
      </c>
      <c r="C76" s="11" t="s">
        <v>577</v>
      </c>
      <c r="D76" s="15">
        <f t="shared" si="59"/>
        <v>5.1030420899999998</v>
      </c>
      <c r="E76" s="178">
        <f t="shared" si="60"/>
        <v>5.0146662200000005</v>
      </c>
      <c r="F76" s="178">
        <v>0.15541529000000001</v>
      </c>
      <c r="G76" s="178">
        <v>-6.7039420000000002E-2</v>
      </c>
      <c r="H76" s="179">
        <f t="shared" si="61"/>
        <v>5.1700815100000002</v>
      </c>
      <c r="I76" s="123" t="s">
        <v>576</v>
      </c>
      <c r="J76" s="11" t="s">
        <v>29</v>
      </c>
      <c r="K76" s="180">
        <f t="shared" si="62"/>
        <v>0.96993948940661878</v>
      </c>
      <c r="L76" s="180">
        <f t="shared" si="56"/>
        <v>3.0060510593381343E-2</v>
      </c>
      <c r="M76" s="180">
        <f t="shared" si="56"/>
        <v>-1.2966801368669331E-2</v>
      </c>
      <c r="AE76" s="286"/>
      <c r="AF76" s="15">
        <f>AF75-AG75</f>
        <v>298.461263396719</v>
      </c>
      <c r="AG76" s="15">
        <f>AG75-AH75</f>
        <v>626.09037244543742</v>
      </c>
      <c r="AH76" s="15">
        <f t="shared" ref="AH76:AJ76" si="79">AH75-AI75</f>
        <v>51.424431134419137</v>
      </c>
      <c r="AI76" s="15">
        <f t="shared" si="79"/>
        <v>162.0385617068041</v>
      </c>
      <c r="AJ76" s="15">
        <f t="shared" si="79"/>
        <v>3900.0153713166201</v>
      </c>
      <c r="AM76" s="286"/>
      <c r="AN76" s="15">
        <f>AN75-AO75</f>
        <v>718.43282642000031</v>
      </c>
      <c r="AO76" s="15">
        <f t="shared" ref="AO76:AQ76" si="80">AO75-AP75</f>
        <v>59.00905210000019</v>
      </c>
      <c r="AP76" s="15">
        <f t="shared" si="80"/>
        <v>185.93772880000051</v>
      </c>
      <c r="AQ76" s="15">
        <f t="shared" si="80"/>
        <v>4475.2310362999997</v>
      </c>
    </row>
    <row r="77" spans="2:43" ht="30" x14ac:dyDescent="0.25">
      <c r="AE77" s="123" t="s">
        <v>597</v>
      </c>
      <c r="AF77" s="174">
        <f>AF76/$AF75</f>
        <v>5.9241660608753625E-2</v>
      </c>
      <c r="AG77" s="174">
        <f t="shared" ref="AG77:AJ77" si="81">AG76/$AF75</f>
        <v>0.12427285515279533</v>
      </c>
      <c r="AH77" s="174">
        <f t="shared" si="81"/>
        <v>1.0207249884264115E-2</v>
      </c>
      <c r="AI77" s="174">
        <f t="shared" si="81"/>
        <v>3.2163079955221406E-2</v>
      </c>
      <c r="AJ77" s="174">
        <f t="shared" si="81"/>
        <v>0.7741151543989655</v>
      </c>
      <c r="AM77" s="173" t="s">
        <v>597</v>
      </c>
      <c r="AN77" s="174">
        <f>AN76/$AN75</f>
        <v>0.13209859530260532</v>
      </c>
      <c r="AO77" s="174">
        <f t="shared" ref="AO77:AQ77" si="82">AO76/$AN75</f>
        <v>1.0850023281078841E-2</v>
      </c>
      <c r="AP77" s="174">
        <f t="shared" si="82"/>
        <v>3.4188461168501348E-2</v>
      </c>
      <c r="AQ77" s="174">
        <f t="shared" si="82"/>
        <v>0.82286292024781449</v>
      </c>
    </row>
    <row r="78" spans="2:43" x14ac:dyDescent="0.25">
      <c r="B78" s="282" t="s">
        <v>645</v>
      </c>
      <c r="C78" s="282"/>
      <c r="D78" s="282"/>
      <c r="E78" s="282"/>
      <c r="F78" s="282"/>
      <c r="G78" s="282"/>
      <c r="H78" s="282"/>
      <c r="I78" s="282"/>
      <c r="J78" s="282"/>
      <c r="K78" s="282"/>
      <c r="L78" s="282"/>
      <c r="M78" s="282"/>
      <c r="N78" s="282"/>
      <c r="O78" s="282"/>
      <c r="P78" s="282"/>
      <c r="Q78" s="282"/>
      <c r="AE78" s="286" t="str">
        <f>$B$38</f>
        <v>Mineral extraction</v>
      </c>
      <c r="AF78" s="15">
        <f>D19</f>
        <v>9.8469999999999978</v>
      </c>
      <c r="AG78" s="15">
        <f>AN78*Calculations!$C$47</f>
        <v>9.3563020395937038</v>
      </c>
      <c r="AH78" s="15">
        <f>AO78*Calculations!$C$47</f>
        <v>4.4758206329524386</v>
      </c>
      <c r="AI78" s="15">
        <f>AP78*Calculations!$C$47</f>
        <v>4.4471318754372238</v>
      </c>
      <c r="AJ78" s="15">
        <f>AQ78*Calculations!$C$47</f>
        <v>4.3701152368195144</v>
      </c>
      <c r="AM78" s="286" t="str">
        <f>$B$38</f>
        <v>Mineral extraction</v>
      </c>
      <c r="AN78" s="15">
        <f>D38</f>
        <v>10.73626878</v>
      </c>
      <c r="AO78" s="15">
        <f>D57</f>
        <v>5.13596217</v>
      </c>
      <c r="AP78" s="15">
        <f>D76</f>
        <v>5.1030420899999998</v>
      </c>
      <c r="AQ78" s="15">
        <f>D95</f>
        <v>5.0146662200000005</v>
      </c>
    </row>
    <row r="79" spans="2:43" x14ac:dyDescent="0.25">
      <c r="AE79" s="286"/>
      <c r="AF79" s="15">
        <f>AF78-AG78</f>
        <v>0.49069796040629399</v>
      </c>
      <c r="AG79" s="15">
        <f>AG78-AH78</f>
        <v>4.8804814066412652</v>
      </c>
      <c r="AH79" s="15">
        <f t="shared" ref="AH79:AJ79" si="83">AH78-AI78</f>
        <v>2.8688757515214824E-2</v>
      </c>
      <c r="AI79" s="15">
        <f t="shared" si="83"/>
        <v>7.7016638617709354E-2</v>
      </c>
      <c r="AJ79" s="15">
        <f t="shared" si="83"/>
        <v>4.3701152368195144</v>
      </c>
      <c r="AM79" s="286"/>
      <c r="AN79" s="15">
        <f>AN78-AO78</f>
        <v>5.6003066099999996</v>
      </c>
      <c r="AO79" s="15">
        <f t="shared" ref="AO79:AQ79" si="84">AO78-AP78</f>
        <v>3.292008000000024E-2</v>
      </c>
      <c r="AP79" s="15">
        <f t="shared" si="84"/>
        <v>8.8375869999999246E-2</v>
      </c>
      <c r="AQ79" s="15">
        <f t="shared" si="84"/>
        <v>5.0146662200000005</v>
      </c>
    </row>
    <row r="80" spans="2:43" ht="32.450000000000003" customHeight="1" x14ac:dyDescent="0.25">
      <c r="B80" s="162" t="s">
        <v>547</v>
      </c>
      <c r="C80" s="162" t="s">
        <v>337</v>
      </c>
      <c r="D80" s="162" t="s">
        <v>213</v>
      </c>
      <c r="E80" s="162" t="s">
        <v>596</v>
      </c>
      <c r="F80" s="162" t="s">
        <v>585</v>
      </c>
      <c r="G80" s="162" t="s">
        <v>586</v>
      </c>
      <c r="H80" s="162" t="s">
        <v>209</v>
      </c>
      <c r="I80" s="162" t="s">
        <v>587</v>
      </c>
      <c r="J80" s="162" t="s">
        <v>581</v>
      </c>
      <c r="L80" s="122" t="s">
        <v>547</v>
      </c>
      <c r="M80" s="122" t="s">
        <v>337</v>
      </c>
      <c r="N80" s="162" t="s">
        <v>596</v>
      </c>
      <c r="O80" s="162" t="s">
        <v>585</v>
      </c>
      <c r="P80" s="162" t="s">
        <v>586</v>
      </c>
      <c r="Q80" s="162" t="s">
        <v>209</v>
      </c>
      <c r="R80" s="162" t="s">
        <v>587</v>
      </c>
      <c r="S80" s="162" t="s">
        <v>581</v>
      </c>
      <c r="AE80" s="123" t="s">
        <v>597</v>
      </c>
      <c r="AF80" s="174">
        <f>AF79/$AF78</f>
        <v>4.9832229146571962E-2</v>
      </c>
      <c r="AG80" s="174">
        <f t="shared" ref="AG80:AJ80" si="85">AG79/$AF78</f>
        <v>0.49563129954719876</v>
      </c>
      <c r="AH80" s="174">
        <f t="shared" si="85"/>
        <v>2.9134515603955347E-3</v>
      </c>
      <c r="AI80" s="174">
        <f t="shared" si="85"/>
        <v>7.8213302140458379E-3</v>
      </c>
      <c r="AJ80" s="174">
        <f t="shared" si="85"/>
        <v>0.44380168953178789</v>
      </c>
      <c r="AM80" s="173" t="s">
        <v>597</v>
      </c>
      <c r="AN80" s="174">
        <f>AN79/$AN78</f>
        <v>0.52162503796779947</v>
      </c>
      <c r="AO80" s="174">
        <f t="shared" ref="AO80:AQ80" si="86">AO79/$AN78</f>
        <v>3.0662496137694719E-3</v>
      </c>
      <c r="AP80" s="174">
        <f t="shared" si="86"/>
        <v>8.2315254778857396E-3</v>
      </c>
      <c r="AQ80" s="174">
        <f t="shared" si="86"/>
        <v>0.46707718694054534</v>
      </c>
    </row>
    <row r="81" spans="2:19" ht="18" x14ac:dyDescent="0.25">
      <c r="B81" s="123" t="s">
        <v>550</v>
      </c>
      <c r="C81" s="11" t="s">
        <v>551</v>
      </c>
      <c r="D81" s="15">
        <f t="shared" ref="D81:D95" si="87">SUM(F81:J81)</f>
        <v>3.3902066700000004</v>
      </c>
      <c r="E81" s="178">
        <v>0</v>
      </c>
      <c r="F81" s="178">
        <v>1.38</v>
      </c>
      <c r="G81" s="178">
        <v>0.318</v>
      </c>
      <c r="H81" s="178">
        <v>0.93522095000000005</v>
      </c>
      <c r="I81" s="178">
        <v>8.8713840000000002E-2</v>
      </c>
      <c r="J81" s="178">
        <v>0.66827188000000004</v>
      </c>
      <c r="L81" s="123" t="s">
        <v>550</v>
      </c>
      <c r="M81" s="11" t="s">
        <v>29</v>
      </c>
      <c r="N81" s="180">
        <f t="shared" ref="N81:S95" si="88">E81/$D81</f>
        <v>0</v>
      </c>
      <c r="O81" s="180">
        <f t="shared" si="88"/>
        <v>0.40705483008208454</v>
      </c>
      <c r="P81" s="180">
        <f t="shared" si="88"/>
        <v>9.3799591279784711E-2</v>
      </c>
      <c r="Q81" s="180">
        <f t="shared" si="88"/>
        <v>0.27585956876192447</v>
      </c>
      <c r="R81" s="180">
        <f t="shared" si="88"/>
        <v>2.6167679034151622E-2</v>
      </c>
      <c r="S81" s="180">
        <f t="shared" si="88"/>
        <v>0.19711833084205452</v>
      </c>
    </row>
    <row r="82" spans="2:19" ht="18" x14ac:dyDescent="0.25">
      <c r="B82" s="123" t="s">
        <v>552</v>
      </c>
      <c r="C82" s="11" t="s">
        <v>551</v>
      </c>
      <c r="D82" s="15">
        <f t="shared" si="87"/>
        <v>4.2370427199999998</v>
      </c>
      <c r="E82" s="178">
        <v>0</v>
      </c>
      <c r="F82" s="178">
        <v>3.11</v>
      </c>
      <c r="G82" s="178">
        <v>0.12</v>
      </c>
      <c r="H82" s="178">
        <v>0.45605932999999999</v>
      </c>
      <c r="I82" s="178">
        <v>0.29878788000000001</v>
      </c>
      <c r="J82" s="178">
        <v>0.25219551000000001</v>
      </c>
      <c r="L82" s="123" t="s">
        <v>552</v>
      </c>
      <c r="M82" s="11" t="s">
        <v>29</v>
      </c>
      <c r="N82" s="180">
        <f t="shared" si="88"/>
        <v>0</v>
      </c>
      <c r="O82" s="180">
        <f t="shared" si="88"/>
        <v>0.73400251201621114</v>
      </c>
      <c r="P82" s="180">
        <f t="shared" si="88"/>
        <v>2.8321640335030655E-2</v>
      </c>
      <c r="Q82" s="180">
        <f t="shared" si="88"/>
        <v>0.10763623596412547</v>
      </c>
      <c r="R82" s="180">
        <f t="shared" si="88"/>
        <v>7.05180239485525E-2</v>
      </c>
      <c r="S82" s="180">
        <f t="shared" si="88"/>
        <v>5.9521587736080232E-2</v>
      </c>
    </row>
    <row r="83" spans="2:19" x14ac:dyDescent="0.25">
      <c r="B83" s="123" t="s">
        <v>553</v>
      </c>
      <c r="C83" s="11" t="s">
        <v>554</v>
      </c>
      <c r="D83" s="15">
        <f t="shared" si="87"/>
        <v>0.21479338000000001</v>
      </c>
      <c r="E83" s="178">
        <v>0</v>
      </c>
      <c r="F83" s="178">
        <v>0.109</v>
      </c>
      <c r="G83" s="178">
        <v>2.6800000000000001E-2</v>
      </c>
      <c r="H83" s="178">
        <v>1.8852520000000001E-2</v>
      </c>
      <c r="I83" s="178">
        <v>3.7448400000000001E-3</v>
      </c>
      <c r="J83" s="178">
        <v>5.6396019999999998E-2</v>
      </c>
      <c r="L83" s="123" t="s">
        <v>553</v>
      </c>
      <c r="M83" s="11" t="s">
        <v>29</v>
      </c>
      <c r="N83" s="180">
        <f t="shared" si="88"/>
        <v>0</v>
      </c>
      <c r="O83" s="180">
        <f t="shared" si="88"/>
        <v>0.50746442930410607</v>
      </c>
      <c r="P83" s="180">
        <f t="shared" si="88"/>
        <v>0.1247710706912848</v>
      </c>
      <c r="Q83" s="180">
        <f t="shared" si="88"/>
        <v>8.7770489016002262E-2</v>
      </c>
      <c r="R83" s="180">
        <f t="shared" si="88"/>
        <v>1.7434615536102649E-2</v>
      </c>
      <c r="S83" s="180">
        <f t="shared" si="88"/>
        <v>0.26255939545250417</v>
      </c>
    </row>
    <row r="84" spans="2:19" x14ac:dyDescent="0.25">
      <c r="B84" s="123" t="s">
        <v>555</v>
      </c>
      <c r="C84" s="11" t="s">
        <v>556</v>
      </c>
      <c r="D84" s="15">
        <f t="shared" si="87"/>
        <v>7673.3298332999993</v>
      </c>
      <c r="E84" s="178">
        <v>0</v>
      </c>
      <c r="F84" s="178">
        <v>4160</v>
      </c>
      <c r="G84" s="178">
        <v>957</v>
      </c>
      <c r="H84" s="178">
        <v>520.23194799999999</v>
      </c>
      <c r="I84" s="178">
        <v>22.0983053</v>
      </c>
      <c r="J84" s="178">
        <v>2013.9995799999999</v>
      </c>
      <c r="L84" s="123" t="s">
        <v>555</v>
      </c>
      <c r="M84" s="11" t="s">
        <v>29</v>
      </c>
      <c r="N84" s="180">
        <f t="shared" si="88"/>
        <v>0</v>
      </c>
      <c r="O84" s="180">
        <f t="shared" si="88"/>
        <v>0.54213751922233566</v>
      </c>
      <c r="P84" s="180">
        <f t="shared" si="88"/>
        <v>0.12471769372494597</v>
      </c>
      <c r="Q84" s="180">
        <f t="shared" si="88"/>
        <v>6.7797417718491126E-2</v>
      </c>
      <c r="R84" s="180">
        <f t="shared" si="88"/>
        <v>2.8798847149903344E-3</v>
      </c>
      <c r="S84" s="180">
        <f t="shared" si="88"/>
        <v>0.26246748461923697</v>
      </c>
    </row>
    <row r="85" spans="2:19" x14ac:dyDescent="0.25">
      <c r="B85" s="123" t="s">
        <v>557</v>
      </c>
      <c r="C85" s="11" t="s">
        <v>558</v>
      </c>
      <c r="D85" s="15">
        <f t="shared" si="87"/>
        <v>4.2598029999999996E-5</v>
      </c>
      <c r="E85" s="178">
        <v>0</v>
      </c>
      <c r="F85" s="178">
        <v>3.1999999999999999E-5</v>
      </c>
      <c r="G85" s="178">
        <v>2.8399999999999999E-6</v>
      </c>
      <c r="H85" s="178">
        <v>1.632E-6</v>
      </c>
      <c r="I85" s="178">
        <v>1.5253E-7</v>
      </c>
      <c r="J85" s="178">
        <v>5.9734999999999996E-6</v>
      </c>
      <c r="L85" s="123" t="s">
        <v>557</v>
      </c>
      <c r="M85" s="11" t="s">
        <v>29</v>
      </c>
      <c r="N85" s="180">
        <f t="shared" si="88"/>
        <v>0</v>
      </c>
      <c r="O85" s="180">
        <f t="shared" si="88"/>
        <v>0.75120844790240304</v>
      </c>
      <c r="P85" s="180">
        <f t="shared" si="88"/>
        <v>6.666974975133827E-2</v>
      </c>
      <c r="Q85" s="180">
        <f t="shared" si="88"/>
        <v>3.8311630843022554E-2</v>
      </c>
      <c r="R85" s="180">
        <f t="shared" si="88"/>
        <v>3.580682017454798E-3</v>
      </c>
      <c r="S85" s="180">
        <f t="shared" si="88"/>
        <v>0.1402294894857814</v>
      </c>
    </row>
    <row r="86" spans="2:19" ht="18" x14ac:dyDescent="0.25">
      <c r="B86" s="123" t="s">
        <v>559</v>
      </c>
      <c r="C86" s="11" t="s">
        <v>560</v>
      </c>
      <c r="D86" s="15">
        <f t="shared" si="87"/>
        <v>9.3889340000000002E-2</v>
      </c>
      <c r="E86" s="178">
        <v>0</v>
      </c>
      <c r="F86" s="178">
        <v>7.9699999999999993E-2</v>
      </c>
      <c r="G86" s="178">
        <v>2.4499999999999999E-3</v>
      </c>
      <c r="H86" s="178">
        <v>5.9850499999999996E-3</v>
      </c>
      <c r="I86" s="178">
        <v>6.0548000000000004E-4</v>
      </c>
      <c r="J86" s="178">
        <v>5.1488100000000002E-3</v>
      </c>
      <c r="L86" s="123" t="s">
        <v>559</v>
      </c>
      <c r="M86" s="11" t="s">
        <v>29</v>
      </c>
      <c r="N86" s="180">
        <f t="shared" si="88"/>
        <v>0</v>
      </c>
      <c r="O86" s="180">
        <f t="shared" si="88"/>
        <v>0.84887166104266998</v>
      </c>
      <c r="P86" s="180">
        <f t="shared" si="88"/>
        <v>2.6094549178852466E-2</v>
      </c>
      <c r="Q86" s="180">
        <f t="shared" si="88"/>
        <v>6.3745788393016714E-2</v>
      </c>
      <c r="R86" s="180">
        <f t="shared" si="88"/>
        <v>6.4488684231884044E-3</v>
      </c>
      <c r="S86" s="180">
        <f t="shared" si="88"/>
        <v>5.4839132962272392E-2</v>
      </c>
    </row>
    <row r="87" spans="2:19" x14ac:dyDescent="0.25">
      <c r="B87" s="123" t="s">
        <v>561</v>
      </c>
      <c r="C87" s="11" t="s">
        <v>562</v>
      </c>
      <c r="D87" s="15">
        <f t="shared" si="87"/>
        <v>19935.480142</v>
      </c>
      <c r="E87" s="178">
        <v>0</v>
      </c>
      <c r="F87" s="178">
        <v>15300</v>
      </c>
      <c r="G87" s="178">
        <v>1110</v>
      </c>
      <c r="H87" s="178">
        <v>1056.99965</v>
      </c>
      <c r="I87" s="178">
        <v>128.78274200000001</v>
      </c>
      <c r="J87" s="178">
        <v>2339.6977499999998</v>
      </c>
      <c r="L87" s="123" t="s">
        <v>561</v>
      </c>
      <c r="M87" s="11" t="s">
        <v>29</v>
      </c>
      <c r="N87" s="180">
        <f t="shared" si="88"/>
        <v>0</v>
      </c>
      <c r="O87" s="180">
        <f t="shared" si="88"/>
        <v>0.76747587171306764</v>
      </c>
      <c r="P87" s="180">
        <f t="shared" si="88"/>
        <v>5.5679622065457852E-2</v>
      </c>
      <c r="Q87" s="180">
        <f t="shared" si="88"/>
        <v>5.3021027959748848E-2</v>
      </c>
      <c r="R87" s="180">
        <f t="shared" si="88"/>
        <v>6.4599769397417715E-3</v>
      </c>
      <c r="S87" s="180">
        <f t="shared" si="88"/>
        <v>0.11736350132198385</v>
      </c>
    </row>
    <row r="88" spans="2:19" x14ac:dyDescent="0.25">
      <c r="B88" s="123" t="s">
        <v>563</v>
      </c>
      <c r="C88" s="11" t="s">
        <v>564</v>
      </c>
      <c r="D88" s="15">
        <f t="shared" si="87"/>
        <v>12593.2719805</v>
      </c>
      <c r="E88" s="178">
        <v>0</v>
      </c>
      <c r="F88" s="178">
        <v>11400</v>
      </c>
      <c r="G88" s="178">
        <v>266</v>
      </c>
      <c r="H88" s="178">
        <v>322.54651799999999</v>
      </c>
      <c r="I88" s="178">
        <v>45.498157499999998</v>
      </c>
      <c r="J88" s="178">
        <v>559.227305</v>
      </c>
      <c r="L88" s="123" t="s">
        <v>563</v>
      </c>
      <c r="M88" s="11" t="s">
        <v>29</v>
      </c>
      <c r="N88" s="180">
        <f t="shared" si="88"/>
        <v>0</v>
      </c>
      <c r="O88" s="180">
        <f t="shared" si="88"/>
        <v>0.90524527840360181</v>
      </c>
      <c r="P88" s="180">
        <f t="shared" si="88"/>
        <v>2.1122389829417377E-2</v>
      </c>
      <c r="Q88" s="180">
        <f t="shared" si="88"/>
        <v>2.5612606358335295E-2</v>
      </c>
      <c r="R88" s="180">
        <f t="shared" si="88"/>
        <v>3.6128940572753001E-3</v>
      </c>
      <c r="S88" s="180">
        <f t="shared" si="88"/>
        <v>4.440683135137026E-2</v>
      </c>
    </row>
    <row r="89" spans="2:19" ht="18" x14ac:dyDescent="0.25">
      <c r="B89" s="123" t="s">
        <v>565</v>
      </c>
      <c r="C89" s="11" t="s">
        <v>566</v>
      </c>
      <c r="D89" s="15">
        <f t="shared" si="87"/>
        <v>3.1343673999999999</v>
      </c>
      <c r="E89" s="178">
        <v>0</v>
      </c>
      <c r="F89" s="178">
        <v>1.53</v>
      </c>
      <c r="G89" s="178">
        <v>0.41799999999999998</v>
      </c>
      <c r="H89" s="178">
        <v>0.25278430000000002</v>
      </c>
      <c r="I89" s="178">
        <v>5.435359E-2</v>
      </c>
      <c r="J89" s="178">
        <v>0.87922951000000005</v>
      </c>
      <c r="L89" s="123" t="s">
        <v>565</v>
      </c>
      <c r="M89" s="11" t="s">
        <v>29</v>
      </c>
      <c r="N89" s="180">
        <f t="shared" si="88"/>
        <v>0</v>
      </c>
      <c r="O89" s="180">
        <f t="shared" si="88"/>
        <v>0.48813677681818668</v>
      </c>
      <c r="P89" s="180">
        <f t="shared" si="88"/>
        <v>0.13336024360130852</v>
      </c>
      <c r="Q89" s="180">
        <f t="shared" si="88"/>
        <v>8.0649224465517352E-2</v>
      </c>
      <c r="R89" s="180">
        <f t="shared" si="88"/>
        <v>1.7341167471305374E-2</v>
      </c>
      <c r="S89" s="180">
        <f t="shared" si="88"/>
        <v>0.28051258764368214</v>
      </c>
    </row>
    <row r="90" spans="2:19" x14ac:dyDescent="0.25">
      <c r="B90" s="123" t="s">
        <v>567</v>
      </c>
      <c r="C90" s="11" t="s">
        <v>568</v>
      </c>
      <c r="D90" s="15">
        <f t="shared" si="87"/>
        <v>7.5845492499999994</v>
      </c>
      <c r="E90" s="178">
        <v>0</v>
      </c>
      <c r="F90" s="178">
        <v>6.34</v>
      </c>
      <c r="G90" s="178">
        <v>0.29199999999999998</v>
      </c>
      <c r="H90" s="178">
        <v>0.31550223999999999</v>
      </c>
      <c r="I90" s="178">
        <v>2.3443350000000002E-2</v>
      </c>
      <c r="J90" s="178">
        <v>0.61360366</v>
      </c>
      <c r="L90" s="123" t="s">
        <v>567</v>
      </c>
      <c r="M90" s="11" t="s">
        <v>29</v>
      </c>
      <c r="N90" s="180">
        <f t="shared" si="88"/>
        <v>0</v>
      </c>
      <c r="O90" s="180">
        <f t="shared" si="88"/>
        <v>0.83590992569532074</v>
      </c>
      <c r="P90" s="180">
        <f t="shared" si="88"/>
        <v>3.8499321498901201E-2</v>
      </c>
      <c r="Q90" s="180">
        <f t="shared" si="88"/>
        <v>4.1598021134874957E-2</v>
      </c>
      <c r="R90" s="180">
        <f t="shared" si="88"/>
        <v>3.09093516664817E-3</v>
      </c>
      <c r="S90" s="180">
        <f t="shared" si="88"/>
        <v>8.0901796504255025E-2</v>
      </c>
    </row>
    <row r="91" spans="2:19" ht="18" x14ac:dyDescent="0.25">
      <c r="B91" s="123" t="s">
        <v>569</v>
      </c>
      <c r="C91" s="11" t="s">
        <v>566</v>
      </c>
      <c r="D91" s="15">
        <f t="shared" si="87"/>
        <v>0.96820441000000002</v>
      </c>
      <c r="E91" s="178">
        <v>0</v>
      </c>
      <c r="F91" s="178">
        <v>0.42599999999999999</v>
      </c>
      <c r="G91" s="178">
        <v>0.14299999999999999</v>
      </c>
      <c r="H91" s="178">
        <v>8.2251320000000003E-2</v>
      </c>
      <c r="I91" s="178">
        <v>1.550724E-2</v>
      </c>
      <c r="J91" s="178">
        <v>0.30144585000000002</v>
      </c>
      <c r="L91" s="123" t="s">
        <v>569</v>
      </c>
      <c r="M91" s="11" t="s">
        <v>29</v>
      </c>
      <c r="N91" s="180">
        <f t="shared" si="88"/>
        <v>0</v>
      </c>
      <c r="O91" s="180">
        <f t="shared" si="88"/>
        <v>0.43998973315975703</v>
      </c>
      <c r="P91" s="180">
        <f t="shared" si="88"/>
        <v>0.14769608413578697</v>
      </c>
      <c r="Q91" s="180">
        <f t="shared" si="88"/>
        <v>8.49524327202765E-2</v>
      </c>
      <c r="R91" s="180">
        <f t="shared" si="88"/>
        <v>1.6016493872404485E-2</v>
      </c>
      <c r="S91" s="180">
        <f t="shared" si="88"/>
        <v>0.31134525611177499</v>
      </c>
    </row>
    <row r="92" spans="2:19" ht="18" x14ac:dyDescent="0.25">
      <c r="B92" s="123" t="s">
        <v>570</v>
      </c>
      <c r="C92" s="11" t="s">
        <v>571</v>
      </c>
      <c r="D92" s="15">
        <f t="shared" si="87"/>
        <v>3.4351650000000004E-2</v>
      </c>
      <c r="E92" s="178">
        <v>0</v>
      </c>
      <c r="F92" s="178">
        <v>2.1299999999999999E-2</v>
      </c>
      <c r="G92" s="178">
        <v>2.7000000000000001E-3</v>
      </c>
      <c r="H92" s="178">
        <v>4.3141200000000003E-3</v>
      </c>
      <c r="I92" s="178">
        <v>3.5114E-4</v>
      </c>
      <c r="J92" s="178">
        <v>5.6863900000000004E-3</v>
      </c>
      <c r="L92" s="123" t="s">
        <v>570</v>
      </c>
      <c r="M92" s="11" t="s">
        <v>29</v>
      </c>
      <c r="N92" s="180">
        <f t="shared" si="88"/>
        <v>0</v>
      </c>
      <c r="O92" s="180">
        <f t="shared" si="88"/>
        <v>0.62005755182065481</v>
      </c>
      <c r="P92" s="180">
        <f t="shared" si="88"/>
        <v>7.8598844596984421E-2</v>
      </c>
      <c r="Q92" s="180">
        <f t="shared" si="88"/>
        <v>0.12558698053805276</v>
      </c>
      <c r="R92" s="180">
        <f t="shared" si="88"/>
        <v>1.0221925293253744E-2</v>
      </c>
      <c r="S92" s="180">
        <f t="shared" si="88"/>
        <v>0.16553469775105417</v>
      </c>
    </row>
    <row r="93" spans="2:19" ht="18" x14ac:dyDescent="0.25">
      <c r="B93" s="171" t="s">
        <v>572</v>
      </c>
      <c r="C93" s="161" t="s">
        <v>573</v>
      </c>
      <c r="D93" s="185">
        <f t="shared" si="87"/>
        <v>255.81548846999999</v>
      </c>
      <c r="E93" s="186">
        <v>0</v>
      </c>
      <c r="F93" s="186">
        <v>173</v>
      </c>
      <c r="G93" s="186">
        <v>20.9</v>
      </c>
      <c r="H93" s="186">
        <v>15.9121243</v>
      </c>
      <c r="I93" s="186">
        <v>1.99288157</v>
      </c>
      <c r="J93" s="186">
        <v>44.010482600000003</v>
      </c>
      <c r="L93" s="123" t="s">
        <v>572</v>
      </c>
      <c r="M93" s="11" t="s">
        <v>29</v>
      </c>
      <c r="N93" s="180">
        <f t="shared" si="88"/>
        <v>0</v>
      </c>
      <c r="O93" s="180">
        <f t="shared" si="88"/>
        <v>0.67626866940188446</v>
      </c>
      <c r="P93" s="180">
        <f t="shared" si="88"/>
        <v>8.1699509771672743E-2</v>
      </c>
      <c r="Q93" s="180">
        <f t="shared" si="88"/>
        <v>6.220156721224504E-2</v>
      </c>
      <c r="R93" s="180">
        <f t="shared" si="88"/>
        <v>7.7903084833493546E-3</v>
      </c>
      <c r="S93" s="180">
        <f t="shared" si="88"/>
        <v>0.1720399451308485</v>
      </c>
    </row>
    <row r="94" spans="2:19" x14ac:dyDescent="0.25">
      <c r="B94" s="123" t="s">
        <v>574</v>
      </c>
      <c r="C94" s="11" t="s">
        <v>575</v>
      </c>
      <c r="D94" s="15">
        <f t="shared" si="87"/>
        <v>4475.2310362999997</v>
      </c>
      <c r="E94" s="178">
        <v>0</v>
      </c>
      <c r="F94" s="178">
        <v>2840</v>
      </c>
      <c r="G94" s="178">
        <v>426</v>
      </c>
      <c r="H94" s="178">
        <v>282.89326999999997</v>
      </c>
      <c r="I94" s="178">
        <v>30.073382299999999</v>
      </c>
      <c r="J94" s="178">
        <v>896.26438399999995</v>
      </c>
      <c r="L94" s="123" t="s">
        <v>574</v>
      </c>
      <c r="M94" s="11" t="s">
        <v>29</v>
      </c>
      <c r="N94" s="180">
        <f t="shared" si="88"/>
        <v>0</v>
      </c>
      <c r="O94" s="180">
        <f t="shared" si="88"/>
        <v>0.63460410802567979</v>
      </c>
      <c r="P94" s="180">
        <f t="shared" si="88"/>
        <v>9.5190616203851969E-2</v>
      </c>
      <c r="Q94" s="180">
        <f t="shared" si="88"/>
        <v>6.3213109603809076E-2</v>
      </c>
      <c r="R94" s="180">
        <f t="shared" si="88"/>
        <v>6.7199619541573122E-3</v>
      </c>
      <c r="S94" s="180">
        <f t="shared" si="88"/>
        <v>0.20027220421250189</v>
      </c>
    </row>
    <row r="95" spans="2:19" x14ac:dyDescent="0.25">
      <c r="B95" s="123" t="s">
        <v>576</v>
      </c>
      <c r="C95" s="11" t="s">
        <v>577</v>
      </c>
      <c r="D95" s="15">
        <f t="shared" si="87"/>
        <v>5.0146662200000005</v>
      </c>
      <c r="E95" s="178">
        <v>0</v>
      </c>
      <c r="F95" s="178">
        <v>3.51</v>
      </c>
      <c r="G95" s="178">
        <v>0.23799999999999999</v>
      </c>
      <c r="H95" s="178">
        <v>0.63850711000000004</v>
      </c>
      <c r="I95" s="178">
        <v>0.12814948000000001</v>
      </c>
      <c r="J95" s="178">
        <v>0.50000962999999998</v>
      </c>
      <c r="L95" s="123" t="s">
        <v>576</v>
      </c>
      <c r="M95" s="11" t="s">
        <v>29</v>
      </c>
      <c r="N95" s="180">
        <f t="shared" si="88"/>
        <v>0</v>
      </c>
      <c r="O95" s="180">
        <f t="shared" si="88"/>
        <v>0.69994688499925717</v>
      </c>
      <c r="P95" s="180">
        <f t="shared" si="88"/>
        <v>4.7460785934422565E-2</v>
      </c>
      <c r="Q95" s="180">
        <f t="shared" si="88"/>
        <v>0.12732793808956641</v>
      </c>
      <c r="R95" s="180">
        <f t="shared" si="88"/>
        <v>2.5554937133981371E-2</v>
      </c>
      <c r="S95" s="180">
        <f t="shared" si="88"/>
        <v>9.9709453842772397E-2</v>
      </c>
    </row>
    <row r="97" spans="2:30" s="148" customFormat="1" ht="15.75" thickBot="1" x14ac:dyDescent="0.3">
      <c r="AD97" s="190"/>
    </row>
    <row r="100" spans="2:30" x14ac:dyDescent="0.25">
      <c r="B100" s="282" t="s">
        <v>641</v>
      </c>
      <c r="C100" s="282"/>
      <c r="D100" s="282"/>
      <c r="E100" s="282"/>
      <c r="F100" s="282"/>
      <c r="G100" s="282"/>
      <c r="H100" s="282"/>
      <c r="I100" s="282"/>
      <c r="J100" s="282"/>
      <c r="K100" s="282"/>
      <c r="L100" s="282"/>
      <c r="M100" s="282"/>
      <c r="N100" s="282"/>
      <c r="O100" s="282"/>
      <c r="P100" s="282"/>
      <c r="Q100" s="282"/>
      <c r="R100" s="282"/>
      <c r="S100" s="282"/>
    </row>
    <row r="102" spans="2:30" ht="27.95" customHeight="1" x14ac:dyDescent="0.25">
      <c r="B102" s="162" t="s">
        <v>547</v>
      </c>
      <c r="C102" s="162" t="s">
        <v>337</v>
      </c>
      <c r="D102" s="162" t="s">
        <v>595</v>
      </c>
      <c r="E102" s="162" t="s">
        <v>615</v>
      </c>
      <c r="F102" s="162" t="s">
        <v>548</v>
      </c>
      <c r="G102" s="162" t="s">
        <v>549</v>
      </c>
      <c r="H102" s="162" t="s">
        <v>582</v>
      </c>
      <c r="L102" s="162" t="s">
        <v>547</v>
      </c>
      <c r="M102" s="162" t="s">
        <v>337</v>
      </c>
      <c r="N102" s="162" t="s">
        <v>615</v>
      </c>
      <c r="O102" s="162" t="s">
        <v>548</v>
      </c>
      <c r="P102" s="162" t="s">
        <v>549</v>
      </c>
      <c r="Q102" s="162" t="s">
        <v>582</v>
      </c>
    </row>
    <row r="103" spans="2:30" x14ac:dyDescent="0.25">
      <c r="B103" s="123" t="s">
        <v>588</v>
      </c>
      <c r="C103" s="11" t="s">
        <v>589</v>
      </c>
      <c r="D103" s="178">
        <f>SUM(E103:J103)</f>
        <v>2.2134002419999999E-4</v>
      </c>
      <c r="E103" s="178">
        <v>0</v>
      </c>
      <c r="F103" s="178">
        <v>2.12E-4</v>
      </c>
      <c r="G103" s="178">
        <v>2.4200000000000001E-11</v>
      </c>
      <c r="H103" s="178">
        <v>9.3400000000000004E-6</v>
      </c>
      <c r="L103" s="123" t="s">
        <v>588</v>
      </c>
      <c r="M103" s="11" t="s">
        <v>29</v>
      </c>
      <c r="N103" s="180">
        <f>E103/$D103</f>
        <v>0</v>
      </c>
      <c r="O103" s="180">
        <f t="shared" ref="O103:Q106" si="89">F103/$D103</f>
        <v>0.9578023711086231</v>
      </c>
      <c r="P103" s="180">
        <f t="shared" si="89"/>
        <v>1.0933404424919188E-7</v>
      </c>
      <c r="Q103" s="180">
        <f t="shared" si="89"/>
        <v>4.2197519557332738E-2</v>
      </c>
    </row>
    <row r="104" spans="2:30" ht="17.25" x14ac:dyDescent="0.25">
      <c r="B104" s="123" t="s">
        <v>590</v>
      </c>
      <c r="C104" s="11" t="s">
        <v>591</v>
      </c>
      <c r="D104" s="178">
        <f t="shared" ref="D104:D106" si="90">SUM(E104:J104)</f>
        <v>126.4000372</v>
      </c>
      <c r="E104" s="178">
        <v>0</v>
      </c>
      <c r="F104" s="178">
        <v>116</v>
      </c>
      <c r="G104" s="178">
        <v>3.7200000000000003E-5</v>
      </c>
      <c r="H104" s="178">
        <v>10.4</v>
      </c>
      <c r="L104" s="123" t="s">
        <v>590</v>
      </c>
      <c r="M104" s="11" t="s">
        <v>29</v>
      </c>
      <c r="N104" s="180">
        <f t="shared" ref="N104:N106" si="91">E104/$D104</f>
        <v>0</v>
      </c>
      <c r="O104" s="180">
        <f t="shared" si="89"/>
        <v>0.91772124889849316</v>
      </c>
      <c r="P104" s="180">
        <f t="shared" si="89"/>
        <v>2.9430371085365473E-7</v>
      </c>
      <c r="Q104" s="180">
        <f t="shared" si="89"/>
        <v>8.227845679779594E-2</v>
      </c>
    </row>
    <row r="105" spans="2:30" s="192" customFormat="1" ht="18" x14ac:dyDescent="0.25">
      <c r="B105" s="171" t="s">
        <v>592</v>
      </c>
      <c r="C105" s="161" t="s">
        <v>573</v>
      </c>
      <c r="D105" s="186">
        <f t="shared" si="90"/>
        <v>300.10000002370003</v>
      </c>
      <c r="E105" s="186">
        <v>0</v>
      </c>
      <c r="F105" s="186">
        <v>282</v>
      </c>
      <c r="G105" s="186">
        <v>2.37E-8</v>
      </c>
      <c r="H105" s="186">
        <v>18.100000000000001</v>
      </c>
      <c r="I105" s="128"/>
      <c r="J105" s="128"/>
      <c r="K105" s="128"/>
      <c r="L105" s="171" t="s">
        <v>592</v>
      </c>
      <c r="M105" s="161" t="s">
        <v>29</v>
      </c>
      <c r="N105" s="191">
        <f t="shared" si="91"/>
        <v>0</v>
      </c>
      <c r="O105" s="191">
        <f t="shared" si="89"/>
        <v>0.9396867710020973</v>
      </c>
      <c r="P105" s="191">
        <f t="shared" si="89"/>
        <v>7.8973675435282648E-11</v>
      </c>
      <c r="Q105" s="191">
        <f t="shared" si="89"/>
        <v>6.0313228918928943E-2</v>
      </c>
      <c r="R105" s="128"/>
      <c r="S105" s="128"/>
      <c r="AD105" s="193"/>
    </row>
    <row r="106" spans="2:30" x14ac:dyDescent="0.25">
      <c r="B106" s="123" t="s">
        <v>593</v>
      </c>
      <c r="C106" s="11" t="s">
        <v>575</v>
      </c>
      <c r="D106" s="178">
        <f t="shared" si="90"/>
        <v>5049.1499999999996</v>
      </c>
      <c r="E106" s="178">
        <v>0</v>
      </c>
      <c r="F106" s="178">
        <v>4750</v>
      </c>
      <c r="G106" s="178">
        <v>2.15</v>
      </c>
      <c r="H106" s="178">
        <v>297</v>
      </c>
      <c r="L106" s="123" t="s">
        <v>593</v>
      </c>
      <c r="M106" s="11" t="s">
        <v>29</v>
      </c>
      <c r="N106" s="180">
        <f t="shared" si="91"/>
        <v>0</v>
      </c>
      <c r="O106" s="180">
        <f t="shared" si="89"/>
        <v>0.9407524038699584</v>
      </c>
      <c r="P106" s="180">
        <f t="shared" si="89"/>
        <v>4.2581424596219169E-4</v>
      </c>
      <c r="Q106" s="180">
        <f t="shared" si="89"/>
        <v>5.8821781884079501E-2</v>
      </c>
    </row>
    <row r="108" spans="2:30" ht="17.25" x14ac:dyDescent="0.25">
      <c r="B108" s="282" t="s">
        <v>642</v>
      </c>
      <c r="C108" s="282"/>
      <c r="D108" s="282"/>
      <c r="E108" s="282"/>
      <c r="F108" s="282"/>
      <c r="G108" s="282"/>
      <c r="H108" s="282"/>
      <c r="I108" s="282"/>
      <c r="J108" s="282"/>
      <c r="K108" s="282"/>
      <c r="L108" s="282"/>
      <c r="M108" s="282"/>
      <c r="N108" s="282"/>
      <c r="O108" s="282"/>
      <c r="P108" s="282"/>
      <c r="Q108" s="282"/>
      <c r="R108" s="282"/>
      <c r="S108" s="282"/>
      <c r="T108" s="282"/>
      <c r="U108" s="282"/>
      <c r="V108" s="282"/>
      <c r="W108" s="282"/>
      <c r="X108" s="282"/>
      <c r="Y108" s="282"/>
    </row>
    <row r="110" spans="2:30" ht="27.95" customHeight="1" x14ac:dyDescent="0.25">
      <c r="B110" s="162" t="s">
        <v>547</v>
      </c>
      <c r="C110" s="162" t="s">
        <v>337</v>
      </c>
      <c r="D110" s="162" t="s">
        <v>213</v>
      </c>
      <c r="E110" s="162" t="s">
        <v>578</v>
      </c>
      <c r="F110" s="162" t="s">
        <v>218</v>
      </c>
      <c r="G110" s="162" t="s">
        <v>579</v>
      </c>
      <c r="H110" s="162" t="s">
        <v>316</v>
      </c>
      <c r="I110" s="162" t="s">
        <v>580</v>
      </c>
      <c r="J110" s="162" t="s">
        <v>581</v>
      </c>
      <c r="L110" s="122" t="s">
        <v>547</v>
      </c>
      <c r="M110" s="122" t="s">
        <v>337</v>
      </c>
      <c r="N110" s="162" t="s">
        <v>578</v>
      </c>
      <c r="O110" s="162" t="s">
        <v>218</v>
      </c>
      <c r="P110" s="162" t="s">
        <v>579</v>
      </c>
      <c r="Q110" s="162" t="s">
        <v>316</v>
      </c>
      <c r="R110" s="162" t="s">
        <v>580</v>
      </c>
      <c r="S110" s="162" t="s">
        <v>581</v>
      </c>
    </row>
    <row r="111" spans="2:30" x14ac:dyDescent="0.25">
      <c r="B111" s="123" t="s">
        <v>588</v>
      </c>
      <c r="C111" s="11" t="s">
        <v>589</v>
      </c>
      <c r="D111" s="178">
        <f>SUM(E111:J111)</f>
        <v>2.4366661462789997E-4</v>
      </c>
      <c r="E111" s="178">
        <f>D119</f>
        <v>1.7589829999999998E-4</v>
      </c>
      <c r="F111" s="178">
        <v>6.5772000000000007E-5</v>
      </c>
      <c r="G111" s="178">
        <v>1.3724999999999999E-7</v>
      </c>
      <c r="H111" s="178">
        <v>4.6278999999999997E-12</v>
      </c>
      <c r="I111" s="178">
        <v>7.3015999999999997E-7</v>
      </c>
      <c r="J111" s="178">
        <v>1.1288999999999999E-6</v>
      </c>
      <c r="L111" s="123" t="s">
        <v>588</v>
      </c>
      <c r="M111" s="11" t="s">
        <v>29</v>
      </c>
      <c r="N111" s="180">
        <f t="shared" ref="N111:S114" si="92">E111/$D111</f>
        <v>0.72188100232201247</v>
      </c>
      <c r="O111" s="180">
        <f t="shared" si="92"/>
        <v>0.26992618623786252</v>
      </c>
      <c r="P111" s="180">
        <f t="shared" si="92"/>
        <v>5.6326961413894405E-4</v>
      </c>
      <c r="Q111" s="180">
        <f t="shared" si="92"/>
        <v>1.8992753714197588E-8</v>
      </c>
      <c r="R111" s="180">
        <f t="shared" si="92"/>
        <v>2.9965533075387348E-3</v>
      </c>
      <c r="S111" s="180">
        <f t="shared" si="92"/>
        <v>4.6329695256936533E-3</v>
      </c>
    </row>
    <row r="112" spans="2:30" ht="17.25" x14ac:dyDescent="0.25">
      <c r="B112" s="123" t="s">
        <v>590</v>
      </c>
      <c r="C112" s="11" t="s">
        <v>591</v>
      </c>
      <c r="D112" s="178">
        <f>SUM(E112:J112)</f>
        <v>133.1592256134</v>
      </c>
      <c r="E112" s="178">
        <f t="shared" ref="E112:E114" si="93">D120</f>
        <v>113.38049814</v>
      </c>
      <c r="F112" s="178">
        <v>19.578203899999998</v>
      </c>
      <c r="G112" s="178">
        <v>2.5783400000000001E-3</v>
      </c>
      <c r="H112" s="178">
        <v>7.1134000000000004E-6</v>
      </c>
      <c r="I112" s="178">
        <v>3.5251360000000002E-2</v>
      </c>
      <c r="J112" s="178">
        <v>0.16268676000000001</v>
      </c>
      <c r="L112" s="123" t="s">
        <v>590</v>
      </c>
      <c r="M112" s="11" t="s">
        <v>29</v>
      </c>
      <c r="N112" s="180">
        <f t="shared" si="92"/>
        <v>0.85146558653905513</v>
      </c>
      <c r="O112" s="180">
        <f t="shared" si="92"/>
        <v>0.1470285202531984</v>
      </c>
      <c r="P112" s="180">
        <f t="shared" si="92"/>
        <v>1.9362834141779045E-5</v>
      </c>
      <c r="Q112" s="180">
        <f t="shared" si="92"/>
        <v>5.3420256593052527E-8</v>
      </c>
      <c r="R112" s="180">
        <f t="shared" si="92"/>
        <v>2.6473088768437991E-4</v>
      </c>
      <c r="S112" s="180">
        <f t="shared" si="92"/>
        <v>1.221746065663727E-3</v>
      </c>
    </row>
    <row r="113" spans="2:30" s="192" customFormat="1" ht="18" x14ac:dyDescent="0.25">
      <c r="B113" s="171" t="s">
        <v>592</v>
      </c>
      <c r="C113" s="161" t="s">
        <v>573</v>
      </c>
      <c r="D113" s="186">
        <f>SUM(E113:J113)</f>
        <v>323.74502739454198</v>
      </c>
      <c r="E113" s="186">
        <f t="shared" si="93"/>
        <v>265.33180666999999</v>
      </c>
      <c r="F113" s="186">
        <v>48.431099799999998</v>
      </c>
      <c r="G113" s="186">
        <v>2.1249600000000002</v>
      </c>
      <c r="H113" s="186">
        <v>4.5420999999999999E-9</v>
      </c>
      <c r="I113" s="186">
        <v>6.68803503</v>
      </c>
      <c r="J113" s="186">
        <v>1.1691258899999999</v>
      </c>
      <c r="K113" s="128"/>
      <c r="L113" s="171" t="s">
        <v>592</v>
      </c>
      <c r="M113" s="161" t="s">
        <v>29</v>
      </c>
      <c r="N113" s="191">
        <f t="shared" si="92"/>
        <v>0.81957029210720544</v>
      </c>
      <c r="O113" s="191">
        <f t="shared" si="92"/>
        <v>0.14959642836761761</v>
      </c>
      <c r="P113" s="191">
        <f t="shared" si="92"/>
        <v>6.5636838258224467E-3</v>
      </c>
      <c r="Q113" s="191">
        <f t="shared" si="92"/>
        <v>1.4029867999994415E-11</v>
      </c>
      <c r="R113" s="191">
        <f t="shared" si="92"/>
        <v>2.06583405583846E-2</v>
      </c>
      <c r="S113" s="191">
        <f t="shared" si="92"/>
        <v>3.6112551269403999E-3</v>
      </c>
      <c r="AD113" s="193"/>
    </row>
    <row r="114" spans="2:30" x14ac:dyDescent="0.25">
      <c r="B114" s="123" t="s">
        <v>593</v>
      </c>
      <c r="C114" s="11" t="s">
        <v>575</v>
      </c>
      <c r="D114" s="178">
        <f>SUM(E114:J114)</f>
        <v>5445.5989115099992</v>
      </c>
      <c r="E114" s="178">
        <f t="shared" si="93"/>
        <v>4721.5657782999997</v>
      </c>
      <c r="F114" s="178">
        <v>562.102486</v>
      </c>
      <c r="G114" s="178">
        <v>24.7912</v>
      </c>
      <c r="H114" s="178">
        <v>0.41173841</v>
      </c>
      <c r="I114" s="178">
        <v>112.90541899999999</v>
      </c>
      <c r="J114" s="178">
        <v>23.8222898</v>
      </c>
      <c r="L114" s="123" t="s">
        <v>593</v>
      </c>
      <c r="M114" s="11" t="s">
        <v>29</v>
      </c>
      <c r="N114" s="180">
        <f t="shared" si="92"/>
        <v>0.86704251543762079</v>
      </c>
      <c r="O114" s="180">
        <f t="shared" si="92"/>
        <v>0.10322142617075993</v>
      </c>
      <c r="P114" s="180">
        <f t="shared" si="92"/>
        <v>4.5525203752337495E-3</v>
      </c>
      <c r="Q114" s="180">
        <f t="shared" si="92"/>
        <v>7.5609389654044477E-5</v>
      </c>
      <c r="R114" s="180">
        <f t="shared" si="92"/>
        <v>2.0733333621277054E-2</v>
      </c>
      <c r="S114" s="180">
        <f t="shared" si="92"/>
        <v>4.3745950054544808E-3</v>
      </c>
    </row>
    <row r="116" spans="2:30" x14ac:dyDescent="0.25">
      <c r="B116" s="283" t="s">
        <v>643</v>
      </c>
      <c r="C116" s="284"/>
      <c r="D116" s="284"/>
      <c r="E116" s="284"/>
      <c r="F116" s="284"/>
      <c r="G116" s="284"/>
      <c r="H116" s="284"/>
      <c r="I116" s="284"/>
      <c r="J116" s="284"/>
      <c r="K116" s="285"/>
    </row>
    <row r="118" spans="2:30" ht="28.5" customHeight="1" x14ac:dyDescent="0.25">
      <c r="B118" s="162" t="s">
        <v>547</v>
      </c>
      <c r="C118" s="162" t="s">
        <v>337</v>
      </c>
      <c r="D118" s="162" t="s">
        <v>213</v>
      </c>
      <c r="E118" s="162" t="s">
        <v>583</v>
      </c>
      <c r="F118" s="162" t="s">
        <v>581</v>
      </c>
      <c r="H118" s="122" t="s">
        <v>547</v>
      </c>
      <c r="I118" s="122" t="s">
        <v>337</v>
      </c>
      <c r="J118" s="162" t="s">
        <v>583</v>
      </c>
      <c r="K118" s="162" t="s">
        <v>581</v>
      </c>
    </row>
    <row r="119" spans="2:30" x14ac:dyDescent="0.25">
      <c r="B119" s="123" t="s">
        <v>588</v>
      </c>
      <c r="C119" s="11" t="s">
        <v>589</v>
      </c>
      <c r="D119" s="178">
        <f>SUM(E119:F119)</f>
        <v>1.7589829999999998E-4</v>
      </c>
      <c r="E119" s="178">
        <f>D127</f>
        <v>1.7310049999999999E-4</v>
      </c>
      <c r="F119" s="178">
        <v>2.7978000000000001E-6</v>
      </c>
      <c r="H119" s="123" t="s">
        <v>588</v>
      </c>
      <c r="I119" s="11" t="s">
        <v>29</v>
      </c>
      <c r="J119" s="180">
        <f>E119/$D119</f>
        <v>0.98409421807942432</v>
      </c>
      <c r="K119" s="180">
        <f>F119/$D119</f>
        <v>1.59057819205757E-2</v>
      </c>
    </row>
    <row r="120" spans="2:30" ht="17.25" x14ac:dyDescent="0.25">
      <c r="B120" s="123" t="s">
        <v>590</v>
      </c>
      <c r="C120" s="11" t="s">
        <v>591</v>
      </c>
      <c r="D120" s="178">
        <f t="shared" ref="D120:D122" si="94">SUM(E120:F120)</f>
        <v>113.38049814</v>
      </c>
      <c r="E120" s="178">
        <f t="shared" ref="E120:E122" si="95">D128</f>
        <v>112.97728975</v>
      </c>
      <c r="F120" s="178">
        <v>0.40320839000000003</v>
      </c>
      <c r="H120" s="123" t="s">
        <v>590</v>
      </c>
      <c r="I120" s="11" t="s">
        <v>29</v>
      </c>
      <c r="J120" s="180">
        <f t="shared" ref="J120:K122" si="96">E120/$D120</f>
        <v>0.99644375887727954</v>
      </c>
      <c r="K120" s="180">
        <f t="shared" si="96"/>
        <v>3.5562411227204722E-3</v>
      </c>
    </row>
    <row r="121" spans="2:30" s="192" customFormat="1" ht="18" x14ac:dyDescent="0.25">
      <c r="B121" s="171" t="s">
        <v>592</v>
      </c>
      <c r="C121" s="161" t="s">
        <v>573</v>
      </c>
      <c r="D121" s="186">
        <f t="shared" si="94"/>
        <v>265.33180666999999</v>
      </c>
      <c r="E121" s="186">
        <f t="shared" si="95"/>
        <v>262.43420534000001</v>
      </c>
      <c r="F121" s="186">
        <v>2.8976013300000001</v>
      </c>
      <c r="H121" s="171" t="s">
        <v>592</v>
      </c>
      <c r="I121" s="161" t="s">
        <v>29</v>
      </c>
      <c r="J121" s="191">
        <f t="shared" si="96"/>
        <v>0.98907932913748331</v>
      </c>
      <c r="K121" s="191">
        <f t="shared" si="96"/>
        <v>1.0920670862516763E-2</v>
      </c>
      <c r="AD121" s="193"/>
    </row>
    <row r="122" spans="2:30" x14ac:dyDescent="0.25">
      <c r="B122" s="123" t="s">
        <v>593</v>
      </c>
      <c r="C122" s="11" t="s">
        <v>575</v>
      </c>
      <c r="D122" s="178">
        <f t="shared" si="94"/>
        <v>4721.5657782999997</v>
      </c>
      <c r="E122" s="178">
        <f t="shared" si="95"/>
        <v>4662.5238061</v>
      </c>
      <c r="F122" s="178">
        <v>59.041972199999996</v>
      </c>
      <c r="H122" s="123" t="s">
        <v>593</v>
      </c>
      <c r="I122" s="11" t="s">
        <v>29</v>
      </c>
      <c r="J122" s="180">
        <f t="shared" si="96"/>
        <v>0.98749525581717978</v>
      </c>
      <c r="K122" s="180">
        <f t="shared" si="96"/>
        <v>1.2504744182820231E-2</v>
      </c>
    </row>
    <row r="124" spans="2:30" x14ac:dyDescent="0.25">
      <c r="B124" s="282" t="s">
        <v>644</v>
      </c>
      <c r="C124" s="282"/>
      <c r="D124" s="282"/>
      <c r="E124" s="282"/>
      <c r="F124" s="282"/>
      <c r="G124" s="282"/>
      <c r="H124" s="282"/>
      <c r="I124" s="282"/>
      <c r="J124" s="282"/>
      <c r="K124" s="282"/>
      <c r="L124" s="282"/>
      <c r="M124" s="282"/>
    </row>
    <row r="126" spans="2:30" ht="28.5" customHeight="1" x14ac:dyDescent="0.25">
      <c r="B126" s="162" t="s">
        <v>547</v>
      </c>
      <c r="C126" s="162" t="s">
        <v>337</v>
      </c>
      <c r="D126" s="162" t="s">
        <v>213</v>
      </c>
      <c r="E126" s="162" t="s">
        <v>584</v>
      </c>
      <c r="F126" s="162" t="s">
        <v>581</v>
      </c>
      <c r="G126" s="162" t="s">
        <v>335</v>
      </c>
      <c r="I126" s="122" t="s">
        <v>547</v>
      </c>
      <c r="J126" s="122" t="s">
        <v>337</v>
      </c>
      <c r="K126" s="162" t="s">
        <v>584</v>
      </c>
      <c r="L126" s="162" t="s">
        <v>581</v>
      </c>
      <c r="M126" s="162" t="s">
        <v>335</v>
      </c>
    </row>
    <row r="127" spans="2:30" x14ac:dyDescent="0.25">
      <c r="B127" s="123" t="s">
        <v>588</v>
      </c>
      <c r="C127" s="11" t="s">
        <v>589</v>
      </c>
      <c r="D127" s="178">
        <f>SUM(E127:G127)</f>
        <v>1.7310049999999999E-4</v>
      </c>
      <c r="E127" s="178">
        <f>D135</f>
        <v>1.7302349999999999E-4</v>
      </c>
      <c r="F127" s="178">
        <v>1.3208E-5</v>
      </c>
      <c r="G127" s="178">
        <v>-1.3131E-5</v>
      </c>
      <c r="H127" s="179">
        <f>SUM(E127:F127)</f>
        <v>1.8623149999999998E-4</v>
      </c>
      <c r="I127" s="123" t="s">
        <v>588</v>
      </c>
      <c r="J127" s="11" t="s">
        <v>29</v>
      </c>
      <c r="K127" s="180">
        <f>E127/$H127</f>
        <v>0.92907751910928071</v>
      </c>
      <c r="L127" s="180">
        <f t="shared" ref="L127:M130" si="97">F127/$H127</f>
        <v>7.0922480890719355E-2</v>
      </c>
      <c r="M127" s="180">
        <f t="shared" si="97"/>
        <v>-7.050901700303118E-2</v>
      </c>
    </row>
    <row r="128" spans="2:30" ht="17.25" x14ac:dyDescent="0.25">
      <c r="B128" s="123" t="s">
        <v>590</v>
      </c>
      <c r="C128" s="11" t="s">
        <v>591</v>
      </c>
      <c r="D128" s="178">
        <f t="shared" ref="D128:D130" si="98">SUM(E128:G128)</f>
        <v>112.97728975</v>
      </c>
      <c r="E128" s="178">
        <f t="shared" ref="E128:E130" si="99">D136</f>
        <v>111.79380123</v>
      </c>
      <c r="F128" s="178">
        <v>1.9035418399999999</v>
      </c>
      <c r="G128" s="178">
        <v>-0.72005332</v>
      </c>
      <c r="H128" s="179">
        <f t="shared" ref="H128:H130" si="100">SUM(E128:F128)</f>
        <v>113.69734307</v>
      </c>
      <c r="I128" s="123" t="s">
        <v>590</v>
      </c>
      <c r="J128" s="11" t="s">
        <v>29</v>
      </c>
      <c r="K128" s="180">
        <f t="shared" ref="K128:K130" si="101">E128/$H128</f>
        <v>0.98325781598231321</v>
      </c>
      <c r="L128" s="180">
        <f t="shared" si="97"/>
        <v>1.6742184017686738E-2</v>
      </c>
      <c r="M128" s="180">
        <f t="shared" si="97"/>
        <v>-6.3330707697952541E-3</v>
      </c>
    </row>
    <row r="129" spans="2:30" s="192" customFormat="1" ht="18" x14ac:dyDescent="0.25">
      <c r="B129" s="171" t="s">
        <v>592</v>
      </c>
      <c r="C129" s="161" t="s">
        <v>573</v>
      </c>
      <c r="D129" s="186">
        <f t="shared" si="98"/>
        <v>262.43420534000001</v>
      </c>
      <c r="E129" s="186">
        <f t="shared" si="99"/>
        <v>255.81548846999999</v>
      </c>
      <c r="F129" s="186">
        <v>13.679540100000001</v>
      </c>
      <c r="G129" s="186">
        <v>-7.0608232299999996</v>
      </c>
      <c r="H129" s="179">
        <f t="shared" si="100"/>
        <v>269.49502856999999</v>
      </c>
      <c r="I129" s="171" t="s">
        <v>592</v>
      </c>
      <c r="J129" s="161" t="s">
        <v>29</v>
      </c>
      <c r="K129" s="191">
        <f t="shared" si="101"/>
        <v>0.949240102229022</v>
      </c>
      <c r="L129" s="191">
        <f t="shared" si="97"/>
        <v>5.0759897770978023E-2</v>
      </c>
      <c r="M129" s="191">
        <f t="shared" si="97"/>
        <v>-2.6200198450658938E-2</v>
      </c>
      <c r="AD129" s="193"/>
    </row>
    <row r="130" spans="2:30" x14ac:dyDescent="0.25">
      <c r="B130" s="123" t="s">
        <v>593</v>
      </c>
      <c r="C130" s="11" t="s">
        <v>575</v>
      </c>
      <c r="D130" s="178">
        <f t="shared" si="98"/>
        <v>4662.5238061</v>
      </c>
      <c r="E130" s="178">
        <f t="shared" si="99"/>
        <v>4476.4977018</v>
      </c>
      <c r="F130" s="178">
        <v>278.73642100000001</v>
      </c>
      <c r="G130" s="178">
        <v>-92.710316700000007</v>
      </c>
      <c r="H130" s="179">
        <f t="shared" si="100"/>
        <v>4755.2341227999996</v>
      </c>
      <c r="I130" s="123" t="s">
        <v>593</v>
      </c>
      <c r="J130" s="11" t="s">
        <v>29</v>
      </c>
      <c r="K130" s="180">
        <f t="shared" si="101"/>
        <v>0.94138323922611145</v>
      </c>
      <c r="L130" s="180">
        <f t="shared" si="97"/>
        <v>5.8616760773888693E-2</v>
      </c>
      <c r="M130" s="180">
        <f t="shared" si="97"/>
        <v>-1.9496477840172017E-2</v>
      </c>
    </row>
    <row r="132" spans="2:30" x14ac:dyDescent="0.25">
      <c r="B132" s="282" t="s">
        <v>645</v>
      </c>
      <c r="C132" s="282"/>
      <c r="D132" s="282"/>
      <c r="E132" s="282"/>
      <c r="F132" s="282"/>
      <c r="G132" s="282"/>
      <c r="H132" s="282"/>
      <c r="I132" s="282"/>
      <c r="J132" s="282"/>
      <c r="K132" s="282"/>
      <c r="L132" s="282"/>
      <c r="M132" s="282"/>
      <c r="N132" s="282"/>
      <c r="O132" s="282"/>
      <c r="P132" s="282"/>
      <c r="Q132" s="282"/>
    </row>
    <row r="134" spans="2:30" ht="27.95" customHeight="1" x14ac:dyDescent="0.25">
      <c r="B134" s="162" t="s">
        <v>547</v>
      </c>
      <c r="C134" s="162" t="s">
        <v>337</v>
      </c>
      <c r="D134" s="162" t="s">
        <v>213</v>
      </c>
      <c r="E134" s="162" t="s">
        <v>596</v>
      </c>
      <c r="F134" s="162" t="s">
        <v>585</v>
      </c>
      <c r="G134" s="162" t="s">
        <v>586</v>
      </c>
      <c r="H134" s="162" t="s">
        <v>209</v>
      </c>
      <c r="I134" s="162" t="s">
        <v>587</v>
      </c>
      <c r="J134" s="162" t="s">
        <v>581</v>
      </c>
      <c r="L134" s="122" t="s">
        <v>547</v>
      </c>
      <c r="M134" s="122" t="s">
        <v>337</v>
      </c>
      <c r="N134" s="162" t="s">
        <v>596</v>
      </c>
      <c r="O134" s="162" t="s">
        <v>585</v>
      </c>
      <c r="P134" s="162" t="s">
        <v>586</v>
      </c>
      <c r="Q134" s="162" t="s">
        <v>209</v>
      </c>
      <c r="R134" s="162" t="s">
        <v>587</v>
      </c>
      <c r="S134" s="162" t="s">
        <v>581</v>
      </c>
    </row>
    <row r="135" spans="2:30" x14ac:dyDescent="0.25">
      <c r="B135" s="123" t="s">
        <v>588</v>
      </c>
      <c r="C135" s="11" t="s">
        <v>589</v>
      </c>
      <c r="D135" s="178">
        <f>SUM(F135:J135)</f>
        <v>1.7302349999999999E-4</v>
      </c>
      <c r="E135" s="178">
        <v>0</v>
      </c>
      <c r="F135" s="178">
        <v>8.9400000000000005E-5</v>
      </c>
      <c r="G135" s="178">
        <v>2.02E-5</v>
      </c>
      <c r="H135" s="178">
        <v>1.7215999999999999E-5</v>
      </c>
      <c r="I135" s="178">
        <v>3.7125E-6</v>
      </c>
      <c r="J135" s="178">
        <v>4.2494999999999999E-5</v>
      </c>
      <c r="L135" s="123" t="s">
        <v>588</v>
      </c>
      <c r="M135" s="11" t="s">
        <v>29</v>
      </c>
      <c r="N135" s="180">
        <f t="shared" ref="N135:S138" si="102">E135/$D135</f>
        <v>0</v>
      </c>
      <c r="O135" s="180">
        <f t="shared" si="102"/>
        <v>0.51669281918352139</v>
      </c>
      <c r="P135" s="180">
        <f t="shared" si="102"/>
        <v>0.11674714706383815</v>
      </c>
      <c r="Q135" s="180">
        <f t="shared" si="102"/>
        <v>9.9500934844110767E-2</v>
      </c>
      <c r="R135" s="180">
        <f t="shared" si="102"/>
        <v>2.1456622944282137E-2</v>
      </c>
      <c r="S135" s="180">
        <f t="shared" si="102"/>
        <v>0.24560247596424764</v>
      </c>
    </row>
    <row r="136" spans="2:30" ht="17.25" x14ac:dyDescent="0.25">
      <c r="B136" s="123" t="s">
        <v>590</v>
      </c>
      <c r="C136" s="11" t="s">
        <v>591</v>
      </c>
      <c r="D136" s="178">
        <f>SUM(F136:J136)</f>
        <v>111.79380123</v>
      </c>
      <c r="E136" s="178">
        <v>0</v>
      </c>
      <c r="F136" s="178">
        <v>99.1</v>
      </c>
      <c r="G136" s="178">
        <v>2.91</v>
      </c>
      <c r="H136" s="178">
        <v>3.2111974399999998</v>
      </c>
      <c r="I136" s="178">
        <v>0.44843630000000001</v>
      </c>
      <c r="J136" s="178">
        <v>6.1241674899999996</v>
      </c>
      <c r="L136" s="123" t="s">
        <v>590</v>
      </c>
      <c r="M136" s="11" t="s">
        <v>29</v>
      </c>
      <c r="N136" s="180">
        <f t="shared" si="102"/>
        <v>0</v>
      </c>
      <c r="O136" s="180">
        <f t="shared" si="102"/>
        <v>0.88645344294283102</v>
      </c>
      <c r="P136" s="180">
        <f t="shared" si="102"/>
        <v>2.6030065781671427E-2</v>
      </c>
      <c r="Q136" s="180">
        <f t="shared" si="102"/>
        <v>2.8724288866369373E-2</v>
      </c>
      <c r="R136" s="180">
        <f t="shared" si="102"/>
        <v>4.0112805456664407E-3</v>
      </c>
      <c r="S136" s="180">
        <f t="shared" si="102"/>
        <v>5.4780921863461708E-2</v>
      </c>
    </row>
    <row r="137" spans="2:30" s="192" customFormat="1" ht="18" x14ac:dyDescent="0.25">
      <c r="B137" s="171" t="s">
        <v>592</v>
      </c>
      <c r="C137" s="161" t="s">
        <v>573</v>
      </c>
      <c r="D137" s="186">
        <f>SUM(F137:J137)</f>
        <v>255.81548846999999</v>
      </c>
      <c r="E137" s="186">
        <v>0</v>
      </c>
      <c r="F137" s="186">
        <v>173</v>
      </c>
      <c r="G137" s="186">
        <v>20.9</v>
      </c>
      <c r="H137" s="186">
        <v>15.9121243</v>
      </c>
      <c r="I137" s="186">
        <v>1.99288157</v>
      </c>
      <c r="J137" s="186">
        <v>44.010482600000003</v>
      </c>
      <c r="L137" s="171" t="s">
        <v>592</v>
      </c>
      <c r="M137" s="161" t="s">
        <v>29</v>
      </c>
      <c r="N137" s="191">
        <f t="shared" si="102"/>
        <v>0</v>
      </c>
      <c r="O137" s="191">
        <f t="shared" si="102"/>
        <v>0.67626866940188446</v>
      </c>
      <c r="P137" s="191">
        <f t="shared" si="102"/>
        <v>8.1699509771672743E-2</v>
      </c>
      <c r="Q137" s="191">
        <f t="shared" si="102"/>
        <v>6.220156721224504E-2</v>
      </c>
      <c r="R137" s="191">
        <f t="shared" si="102"/>
        <v>7.7903084833493546E-3</v>
      </c>
      <c r="S137" s="191">
        <f t="shared" si="102"/>
        <v>0.1720399451308485</v>
      </c>
      <c r="AD137" s="193"/>
    </row>
    <row r="138" spans="2:30" x14ac:dyDescent="0.25">
      <c r="B138" s="123" t="s">
        <v>593</v>
      </c>
      <c r="C138" s="11" t="s">
        <v>575</v>
      </c>
      <c r="D138" s="178">
        <f>SUM(F138:J138)</f>
        <v>4476.4977018</v>
      </c>
      <c r="E138" s="178">
        <v>0</v>
      </c>
      <c r="F138" s="178">
        <v>2840</v>
      </c>
      <c r="G138" s="178">
        <v>426</v>
      </c>
      <c r="H138" s="178">
        <v>283.53177699999998</v>
      </c>
      <c r="I138" s="178">
        <v>30.201531800000001</v>
      </c>
      <c r="J138" s="178">
        <v>896.76439300000004</v>
      </c>
      <c r="L138" s="123" t="s">
        <v>593</v>
      </c>
      <c r="M138" s="11" t="s">
        <v>29</v>
      </c>
      <c r="N138" s="180">
        <f t="shared" si="102"/>
        <v>0</v>
      </c>
      <c r="O138" s="180">
        <f t="shared" si="102"/>
        <v>0.63442454105539603</v>
      </c>
      <c r="P138" s="180">
        <f t="shared" si="102"/>
        <v>9.5163681158309407E-2</v>
      </c>
      <c r="Q138" s="180">
        <f t="shared" si="102"/>
        <v>6.3337858273889394E-2</v>
      </c>
      <c r="R138" s="180">
        <f t="shared" si="102"/>
        <v>6.7466876589383626E-3</v>
      </c>
      <c r="S138" s="180">
        <f t="shared" si="102"/>
        <v>0.20032723185346685</v>
      </c>
    </row>
  </sheetData>
  <mergeCells count="52">
    <mergeCell ref="B124:M124"/>
    <mergeCell ref="B132:Q132"/>
    <mergeCell ref="B78:Q78"/>
    <mergeCell ref="AE78:AE79"/>
    <mergeCell ref="AM78:AM79"/>
    <mergeCell ref="B100:S100"/>
    <mergeCell ref="B108:Y108"/>
    <mergeCell ref="B116:K116"/>
    <mergeCell ref="AE69:AE70"/>
    <mergeCell ref="AM69:AM70"/>
    <mergeCell ref="AE72:AE73"/>
    <mergeCell ref="AM72:AM73"/>
    <mergeCell ref="AE75:AE76"/>
    <mergeCell ref="AM75:AM76"/>
    <mergeCell ref="B59:M59"/>
    <mergeCell ref="AE60:AE61"/>
    <mergeCell ref="AM60:AM61"/>
    <mergeCell ref="AE63:AE64"/>
    <mergeCell ref="AM63:AM64"/>
    <mergeCell ref="AE66:AE67"/>
    <mergeCell ref="AM66:AM67"/>
    <mergeCell ref="AE51:AE52"/>
    <mergeCell ref="AM51:AM52"/>
    <mergeCell ref="AE54:AE55"/>
    <mergeCell ref="AM54:AM55"/>
    <mergeCell ref="AE57:AE58"/>
    <mergeCell ref="AM57:AM58"/>
    <mergeCell ref="AE42:AE43"/>
    <mergeCell ref="AM42:AM43"/>
    <mergeCell ref="AE45:AE46"/>
    <mergeCell ref="AM45:AM46"/>
    <mergeCell ref="AE48:AE49"/>
    <mergeCell ref="AM48:AM49"/>
    <mergeCell ref="AN33:AQ33"/>
    <mergeCell ref="AE36:AE37"/>
    <mergeCell ref="AM36:AM37"/>
    <mergeCell ref="AE39:AE40"/>
    <mergeCell ref="AM39:AM40"/>
    <mergeCell ref="B40:K40"/>
    <mergeCell ref="AE11:AE12"/>
    <mergeCell ref="AM11:AM12"/>
    <mergeCell ref="AE14:AE15"/>
    <mergeCell ref="AM14:AM15"/>
    <mergeCell ref="B21:Y21"/>
    <mergeCell ref="AF33:AJ33"/>
    <mergeCell ref="AE8:AE9"/>
    <mergeCell ref="AM8:AM9"/>
    <mergeCell ref="B2:S2"/>
    <mergeCell ref="AF2:AJ2"/>
    <mergeCell ref="AN2:AQ2"/>
    <mergeCell ref="AE5:AE6"/>
    <mergeCell ref="AM5:AM6"/>
  </mergeCell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S138"/>
  <sheetViews>
    <sheetView topLeftCell="A112" zoomScale="90" zoomScaleNormal="90" workbookViewId="0">
      <selection activeCell="B133" sqref="B133"/>
    </sheetView>
  </sheetViews>
  <sheetFormatPr defaultColWidth="10.85546875" defaultRowHeight="15" x14ac:dyDescent="0.25"/>
  <cols>
    <col min="1" max="1" width="10.85546875" style="128"/>
    <col min="2" max="2" width="20.7109375" style="128" bestFit="1" customWidth="1"/>
    <col min="3" max="3" width="12.140625" style="128" bestFit="1" customWidth="1"/>
    <col min="4" max="4" width="15" style="128" bestFit="1" customWidth="1"/>
    <col min="5" max="5" width="13.5703125" style="128" customWidth="1"/>
    <col min="6" max="6" width="14.28515625" style="128" customWidth="1"/>
    <col min="7" max="7" width="12.42578125" style="128" bestFit="1" customWidth="1"/>
    <col min="8" max="8" width="19.85546875" style="128" bestFit="1" customWidth="1"/>
    <col min="9" max="9" width="20.5703125" style="128" bestFit="1" customWidth="1"/>
    <col min="10" max="10" width="12.140625" style="128" customWidth="1"/>
    <col min="11" max="11" width="20.42578125" style="128" customWidth="1"/>
    <col min="12" max="12" width="22.140625" style="128" customWidth="1"/>
    <col min="13" max="13" width="10.85546875" style="128" customWidth="1"/>
    <col min="14" max="14" width="14.28515625" style="128" customWidth="1"/>
    <col min="15" max="15" width="19.85546875" style="128" customWidth="1"/>
    <col min="16" max="16" width="10.85546875" style="128" customWidth="1"/>
    <col min="17" max="17" width="13.140625" style="128" customWidth="1"/>
    <col min="18" max="18" width="13.5703125" style="128" customWidth="1"/>
    <col min="19" max="23" width="10.85546875" style="128" customWidth="1"/>
    <col min="24" max="24" width="13.28515625" style="128" customWidth="1"/>
    <col min="25" max="25" width="13.42578125" style="128" customWidth="1"/>
    <col min="26" max="26" width="10.85546875" style="128"/>
    <col min="27" max="27" width="15.5703125" style="128" bestFit="1" customWidth="1"/>
    <col min="28" max="29" width="10.85546875" style="128"/>
    <col min="30" max="30" width="10.85546875" style="176"/>
    <col min="31" max="31" width="14.42578125" style="128" bestFit="1" customWidth="1"/>
    <col min="32" max="32" width="13.42578125" style="128" customWidth="1"/>
    <col min="33" max="33" width="14.140625" style="128" customWidth="1"/>
    <col min="34" max="34" width="13.140625" style="128" customWidth="1"/>
    <col min="35" max="38" width="10.85546875" style="128"/>
    <col min="39" max="39" width="15.5703125" style="128" bestFit="1" customWidth="1"/>
    <col min="40" max="40" width="11.85546875" style="128" customWidth="1"/>
    <col min="41" max="41" width="13.5703125" style="128" customWidth="1"/>
    <col min="42" max="16384" width="10.85546875" style="128"/>
  </cols>
  <sheetData>
    <row r="1" spans="1:44" ht="15.75" thickBot="1" x14ac:dyDescent="0.3">
      <c r="A1" s="175" t="s">
        <v>594</v>
      </c>
    </row>
    <row r="2" spans="1:44" ht="18" thickBot="1" x14ac:dyDescent="0.3">
      <c r="B2" s="282" t="s">
        <v>646</v>
      </c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AF2" s="279" t="s">
        <v>609</v>
      </c>
      <c r="AG2" s="280"/>
      <c r="AH2" s="280"/>
      <c r="AI2" s="280"/>
      <c r="AJ2" s="281"/>
      <c r="AN2" s="279" t="s">
        <v>610</v>
      </c>
      <c r="AO2" s="280"/>
      <c r="AP2" s="280"/>
      <c r="AQ2" s="281"/>
    </row>
    <row r="4" spans="1:44" ht="30" customHeight="1" x14ac:dyDescent="0.25">
      <c r="B4" s="162" t="s">
        <v>547</v>
      </c>
      <c r="C4" s="162" t="s">
        <v>337</v>
      </c>
      <c r="D4" s="162" t="s">
        <v>595</v>
      </c>
      <c r="E4" s="162" t="s">
        <v>615</v>
      </c>
      <c r="F4" s="162" t="s">
        <v>548</v>
      </c>
      <c r="G4" s="162" t="s">
        <v>549</v>
      </c>
      <c r="H4" s="162" t="s">
        <v>582</v>
      </c>
      <c r="L4" s="162" t="s">
        <v>547</v>
      </c>
      <c r="M4" s="162" t="s">
        <v>337</v>
      </c>
      <c r="N4" s="162" t="s">
        <v>615</v>
      </c>
      <c r="O4" s="162" t="s">
        <v>548</v>
      </c>
      <c r="P4" s="162" t="s">
        <v>549</v>
      </c>
      <c r="Q4" s="162" t="s">
        <v>582</v>
      </c>
      <c r="AF4" s="162" t="s">
        <v>615</v>
      </c>
      <c r="AG4" s="162" t="s">
        <v>548</v>
      </c>
      <c r="AH4" s="162" t="s">
        <v>578</v>
      </c>
      <c r="AI4" s="162" t="s">
        <v>583</v>
      </c>
      <c r="AJ4" s="162" t="s">
        <v>596</v>
      </c>
      <c r="AM4" s="177" t="s">
        <v>600</v>
      </c>
      <c r="AN4" s="162" t="s">
        <v>548</v>
      </c>
      <c r="AO4" s="162" t="s">
        <v>578</v>
      </c>
      <c r="AP4" s="162" t="s">
        <v>583</v>
      </c>
      <c r="AQ4" s="162" t="s">
        <v>596</v>
      </c>
    </row>
    <row r="5" spans="1:44" ht="18" x14ac:dyDescent="0.25">
      <c r="B5" s="123" t="s">
        <v>550</v>
      </c>
      <c r="C5" s="11" t="s">
        <v>551</v>
      </c>
      <c r="D5" s="15">
        <f>SUM(E5:J5)</f>
        <v>3.9940000765000003</v>
      </c>
      <c r="E5" s="178">
        <v>0</v>
      </c>
      <c r="F5" s="178">
        <v>3.85</v>
      </c>
      <c r="G5" s="178">
        <v>7.6500000000000003E-8</v>
      </c>
      <c r="H5" s="178">
        <v>0.14399999999999999</v>
      </c>
      <c r="L5" s="123" t="s">
        <v>550</v>
      </c>
      <c r="M5" s="11" t="s">
        <v>29</v>
      </c>
      <c r="N5" s="180">
        <f>E5/$D5</f>
        <v>0</v>
      </c>
      <c r="O5" s="180">
        <f t="shared" ref="O5:Q19" si="0">F5/$D5</f>
        <v>0.96394590041515738</v>
      </c>
      <c r="P5" s="180">
        <f t="shared" si="0"/>
        <v>1.9153730229028452E-8</v>
      </c>
      <c r="Q5" s="180">
        <f t="shared" si="0"/>
        <v>3.6054080431112377E-2</v>
      </c>
      <c r="T5" s="181"/>
      <c r="AE5" s="287" t="s">
        <v>572</v>
      </c>
      <c r="AF5" s="15">
        <f>D105</f>
        <v>302.10000002370003</v>
      </c>
      <c r="AG5" s="15">
        <f>AN5*Calculations!$C$47</f>
        <v>283.87598398026137</v>
      </c>
      <c r="AH5" s="15">
        <f>AO5*Calculations!$C$47</f>
        <v>232.97080012137985</v>
      </c>
      <c r="AI5" s="15">
        <f>AP5*Calculations!$C$47</f>
        <v>230.44563669735012</v>
      </c>
      <c r="AJ5" s="15">
        <f>AQ5*Calculations!$C$47</f>
        <v>224.67764453738911</v>
      </c>
      <c r="AM5" s="287" t="s">
        <v>572</v>
      </c>
      <c r="AN5" s="15">
        <f>D113</f>
        <v>325.74502739454198</v>
      </c>
      <c r="AO5" s="15">
        <f>D121</f>
        <v>267.33180666999999</v>
      </c>
      <c r="AP5" s="15">
        <f>D129</f>
        <v>264.43420534000001</v>
      </c>
      <c r="AQ5" s="15">
        <f>D137</f>
        <v>257.81548846999999</v>
      </c>
    </row>
    <row r="6" spans="1:44" ht="18" x14ac:dyDescent="0.25">
      <c r="B6" s="123" t="s">
        <v>552</v>
      </c>
      <c r="C6" s="11" t="s">
        <v>551</v>
      </c>
      <c r="D6" s="15">
        <f t="shared" ref="D6:D19" si="1">SUM(E6:J6)</f>
        <v>7.4860016399999996</v>
      </c>
      <c r="E6" s="178">
        <v>0</v>
      </c>
      <c r="F6" s="178">
        <v>7.16</v>
      </c>
      <c r="G6" s="178">
        <v>1.64E-6</v>
      </c>
      <c r="H6" s="178">
        <v>0.32600000000000001</v>
      </c>
      <c r="L6" s="123" t="s">
        <v>552</v>
      </c>
      <c r="M6" s="11" t="s">
        <v>29</v>
      </c>
      <c r="N6" s="180">
        <f t="shared" ref="N6:N19" si="2">E6/$D6</f>
        <v>0</v>
      </c>
      <c r="O6" s="180">
        <f t="shared" si="0"/>
        <v>0.9564518342798547</v>
      </c>
      <c r="P6" s="180">
        <f t="shared" si="0"/>
        <v>2.1907555980711756E-7</v>
      </c>
      <c r="Q6" s="180">
        <f t="shared" si="0"/>
        <v>4.3547946644585563E-2</v>
      </c>
      <c r="T6" s="181"/>
      <c r="AE6" s="287"/>
      <c r="AF6" s="15">
        <f t="shared" ref="AF6:AI6" si="3">AF5-AG5</f>
        <v>18.224016043438667</v>
      </c>
      <c r="AG6" s="15">
        <f t="shared" si="3"/>
        <v>50.905183858881514</v>
      </c>
      <c r="AH6" s="15">
        <f t="shared" si="3"/>
        <v>2.5251634240297278</v>
      </c>
      <c r="AI6" s="15">
        <f t="shared" si="3"/>
        <v>5.7679921599610111</v>
      </c>
      <c r="AJ6" s="15">
        <f>AJ5-AK5</f>
        <v>224.67764453738911</v>
      </c>
      <c r="AM6" s="287"/>
      <c r="AN6" s="15">
        <f t="shared" ref="AN6:AP6" si="4">AN5-AO5</f>
        <v>58.413220724541986</v>
      </c>
      <c r="AO6" s="15">
        <f t="shared" si="4"/>
        <v>2.8976013299999863</v>
      </c>
      <c r="AP6" s="15">
        <f t="shared" si="4"/>
        <v>6.6187168700000143</v>
      </c>
      <c r="AQ6" s="15">
        <f>AQ5-AR5</f>
        <v>257.81548846999999</v>
      </c>
    </row>
    <row r="7" spans="1:44" x14ac:dyDescent="0.25">
      <c r="B7" s="123" t="s">
        <v>553</v>
      </c>
      <c r="C7" s="11" t="s">
        <v>554</v>
      </c>
      <c r="D7" s="15">
        <f t="shared" si="1"/>
        <v>0.27140002200000002</v>
      </c>
      <c r="E7" s="178">
        <v>0</v>
      </c>
      <c r="F7" s="178">
        <v>0.26</v>
      </c>
      <c r="G7" s="178">
        <v>2.1999999999999998E-8</v>
      </c>
      <c r="H7" s="178">
        <v>1.14E-2</v>
      </c>
      <c r="L7" s="123" t="s">
        <v>553</v>
      </c>
      <c r="M7" s="11" t="s">
        <v>29</v>
      </c>
      <c r="N7" s="180">
        <f t="shared" si="2"/>
        <v>0</v>
      </c>
      <c r="O7" s="180">
        <f t="shared" si="0"/>
        <v>0.95799550082571472</v>
      </c>
      <c r="P7" s="180">
        <f t="shared" si="0"/>
        <v>8.1061157762175851E-8</v>
      </c>
      <c r="Q7" s="180">
        <f t="shared" si="0"/>
        <v>4.2004418113127488E-2</v>
      </c>
      <c r="T7" s="181"/>
      <c r="AE7" s="123" t="s">
        <v>597</v>
      </c>
      <c r="AF7" s="182">
        <f>AF6/$AF$5</f>
        <v>6.0324448997050563E-2</v>
      </c>
      <c r="AG7" s="182">
        <f>AG6/$AF$5</f>
        <v>0.16850441527602766</v>
      </c>
      <c r="AH7" s="182">
        <f>AH6/$AF$5</f>
        <v>8.3587005092076345E-3</v>
      </c>
      <c r="AI7" s="182">
        <f>AI6/$AF$5</f>
        <v>1.9092989604463775E-2</v>
      </c>
      <c r="AJ7" s="182">
        <f>AJ6/$AF$5</f>
        <v>0.74371944561325032</v>
      </c>
      <c r="AK7" s="183">
        <f>SUM(AF7:AJ7)</f>
        <v>1</v>
      </c>
      <c r="AM7" s="123" t="s">
        <v>597</v>
      </c>
      <c r="AN7" s="174">
        <f>AN6/$AN$5</f>
        <v>0.17932191073416437</v>
      </c>
      <c r="AO7" s="174">
        <f t="shared" ref="AO7:AQ7" si="5">AO6/$AN$5</f>
        <v>8.8953048744176682E-3</v>
      </c>
      <c r="AP7" s="174">
        <f t="shared" si="5"/>
        <v>2.0318704242209145E-2</v>
      </c>
      <c r="AQ7" s="174">
        <f t="shared" si="5"/>
        <v>0.79146408014920877</v>
      </c>
      <c r="AR7" s="184">
        <f>SUM(AN7:AQ7)</f>
        <v>1</v>
      </c>
    </row>
    <row r="8" spans="1:44" x14ac:dyDescent="0.25">
      <c r="B8" s="123" t="s">
        <v>555</v>
      </c>
      <c r="C8" s="11" t="s">
        <v>556</v>
      </c>
      <c r="D8" s="15">
        <f t="shared" si="1"/>
        <v>5532.0150000000003</v>
      </c>
      <c r="E8" s="178">
        <v>0</v>
      </c>
      <c r="F8" s="178">
        <v>5380</v>
      </c>
      <c r="G8" s="178">
        <v>1.4999999999999999E-2</v>
      </c>
      <c r="H8" s="178">
        <v>152</v>
      </c>
      <c r="L8" s="123" t="s">
        <v>555</v>
      </c>
      <c r="M8" s="11" t="s">
        <v>29</v>
      </c>
      <c r="N8" s="180">
        <f t="shared" si="2"/>
        <v>0</v>
      </c>
      <c r="O8" s="180">
        <f t="shared" si="0"/>
        <v>0.97252086265131232</v>
      </c>
      <c r="P8" s="180">
        <f t="shared" si="0"/>
        <v>2.7114893940092353E-6</v>
      </c>
      <c r="Q8" s="180">
        <f t="shared" si="0"/>
        <v>2.7476425859293583E-2</v>
      </c>
      <c r="T8" s="181"/>
      <c r="AE8" s="287" t="s">
        <v>588</v>
      </c>
      <c r="AF8" s="178">
        <f>D103</f>
        <v>2.2334002419999998E-4</v>
      </c>
      <c r="AG8" s="178">
        <f>AN8*Calculations!$C$47</f>
        <v>2.1400315737057598E-4</v>
      </c>
      <c r="AH8" s="178">
        <f>AO8*Calculations!$C$47</f>
        <v>1.5494531955321383E-4</v>
      </c>
      <c r="AI8" s="178">
        <f>AP8*Calculations!$C$47</f>
        <v>1.5250712967712401E-4</v>
      </c>
      <c r="AJ8" s="178">
        <f>AQ8*Calculations!$C$47</f>
        <v>1.5244002673178876E-4</v>
      </c>
      <c r="AM8" s="287" t="s">
        <v>588</v>
      </c>
      <c r="AN8" s="178">
        <f>D111</f>
        <v>2.4556661462789997E-4</v>
      </c>
      <c r="AO8" s="178">
        <f>D119</f>
        <v>1.7779829999999997E-4</v>
      </c>
      <c r="AP8" s="178">
        <f>D127</f>
        <v>1.7500049999999998E-4</v>
      </c>
      <c r="AQ8" s="178">
        <f>D135</f>
        <v>1.7492349999999999E-4</v>
      </c>
    </row>
    <row r="9" spans="1:44" x14ac:dyDescent="0.25">
      <c r="B9" s="123" t="s">
        <v>557</v>
      </c>
      <c r="C9" s="11" t="s">
        <v>558</v>
      </c>
      <c r="D9" s="15">
        <f t="shared" si="1"/>
        <v>4.6650000000054402E-5</v>
      </c>
      <c r="E9" s="178">
        <v>0</v>
      </c>
      <c r="F9" s="178">
        <v>4.3300000000000002E-5</v>
      </c>
      <c r="G9" s="178">
        <v>5.44E-17</v>
      </c>
      <c r="H9" s="178">
        <v>3.3500000000000001E-6</v>
      </c>
      <c r="L9" s="123" t="s">
        <v>557</v>
      </c>
      <c r="M9" s="11" t="s">
        <v>29</v>
      </c>
      <c r="N9" s="180">
        <f t="shared" si="2"/>
        <v>0</v>
      </c>
      <c r="O9" s="180">
        <f t="shared" si="0"/>
        <v>0.9281886387984889</v>
      </c>
      <c r="P9" s="180">
        <f t="shared" si="0"/>
        <v>1.1661307609847065E-12</v>
      </c>
      <c r="Q9" s="180">
        <f t="shared" si="0"/>
        <v>7.1811361200344981E-2</v>
      </c>
      <c r="T9" s="181"/>
      <c r="AE9" s="287"/>
      <c r="AF9" s="178">
        <f t="shared" ref="AF9:AI9" si="6">AF8-AG8</f>
        <v>9.336866829424002E-6</v>
      </c>
      <c r="AG9" s="178">
        <f t="shared" si="6"/>
        <v>5.9057837817362146E-5</v>
      </c>
      <c r="AH9" s="178">
        <f t="shared" si="6"/>
        <v>2.4381898760898193E-6</v>
      </c>
      <c r="AI9" s="178">
        <f t="shared" si="6"/>
        <v>6.7102945335251142E-8</v>
      </c>
      <c r="AJ9" s="178">
        <f>AJ8-AK8</f>
        <v>1.5244002673178876E-4</v>
      </c>
      <c r="AM9" s="287"/>
      <c r="AN9" s="178">
        <f t="shared" ref="AN9:AP9" si="7">AN8-AO8</f>
        <v>6.7768314627899992E-5</v>
      </c>
      <c r="AO9" s="178">
        <f t="shared" si="7"/>
        <v>2.7977999999999955E-6</v>
      </c>
      <c r="AP9" s="178">
        <f t="shared" si="7"/>
        <v>7.6999999999992656E-8</v>
      </c>
      <c r="AQ9" s="178">
        <f>AQ8-AR8</f>
        <v>1.7492349999999999E-4</v>
      </c>
    </row>
    <row r="10" spans="1:44" ht="18" x14ac:dyDescent="0.25">
      <c r="B10" s="123" t="s">
        <v>559</v>
      </c>
      <c r="C10" s="11" t="s">
        <v>560</v>
      </c>
      <c r="D10" s="15">
        <f t="shared" si="1"/>
        <v>0.103630387</v>
      </c>
      <c r="E10" s="178">
        <v>0</v>
      </c>
      <c r="F10" s="178">
        <v>9.5299999999999996E-2</v>
      </c>
      <c r="G10" s="178">
        <v>3.8700000000000001E-7</v>
      </c>
      <c r="H10" s="178">
        <v>8.3300000000000006E-3</v>
      </c>
      <c r="L10" s="123" t="s">
        <v>559</v>
      </c>
      <c r="M10" s="11" t="s">
        <v>29</v>
      </c>
      <c r="N10" s="180">
        <f t="shared" si="2"/>
        <v>0</v>
      </c>
      <c r="O10" s="180">
        <f t="shared" si="0"/>
        <v>0.91961443702801182</v>
      </c>
      <c r="P10" s="180">
        <f t="shared" si="0"/>
        <v>3.7344258880361027E-6</v>
      </c>
      <c r="Q10" s="180">
        <f t="shared" si="0"/>
        <v>8.0381828546100098E-2</v>
      </c>
      <c r="T10" s="181"/>
      <c r="AE10" s="123" t="s">
        <v>597</v>
      </c>
      <c r="AF10" s="182">
        <f>AF9/$AF$8</f>
        <v>4.1805613941650152E-2</v>
      </c>
      <c r="AG10" s="182">
        <f>AG9/$AF$8</f>
        <v>0.2644301576885123</v>
      </c>
      <c r="AH10" s="182">
        <f>AH9/$AF$8</f>
        <v>1.0916941040117518E-2</v>
      </c>
      <c r="AI10" s="182">
        <f>AI9/$AF$8</f>
        <v>3.0045194799101818E-4</v>
      </c>
      <c r="AJ10" s="182">
        <f>AJ9/$AF$8</f>
        <v>0.682546835381729</v>
      </c>
      <c r="AK10" s="183">
        <f>SUM(AF10:AJ10)</f>
        <v>1</v>
      </c>
      <c r="AM10" s="123" t="s">
        <v>597</v>
      </c>
      <c r="AN10" s="174">
        <f>AN9/$AN$8</f>
        <v>0.27596713311615007</v>
      </c>
      <c r="AO10" s="174">
        <f t="shared" ref="AO10:AQ10" si="8">AO9/$AN$8</f>
        <v>1.1393242539257307E-2</v>
      </c>
      <c r="AP10" s="174">
        <f t="shared" si="8"/>
        <v>3.1356053882433709E-4</v>
      </c>
      <c r="AQ10" s="174">
        <f t="shared" si="8"/>
        <v>0.71232606380576835</v>
      </c>
      <c r="AR10" s="184">
        <f>SUM(AN10:AQ10)</f>
        <v>1</v>
      </c>
    </row>
    <row r="11" spans="1:44" x14ac:dyDescent="0.25">
      <c r="B11" s="123" t="s">
        <v>561</v>
      </c>
      <c r="C11" s="11" t="s">
        <v>562</v>
      </c>
      <c r="D11" s="15">
        <f t="shared" si="1"/>
        <v>23400.698</v>
      </c>
      <c r="E11" s="178">
        <v>0</v>
      </c>
      <c r="F11" s="178">
        <v>21800</v>
      </c>
      <c r="G11" s="178">
        <v>0.69799999999999995</v>
      </c>
      <c r="H11" s="178">
        <v>1600</v>
      </c>
      <c r="L11" s="123" t="s">
        <v>561</v>
      </c>
      <c r="M11" s="11" t="s">
        <v>29</v>
      </c>
      <c r="N11" s="180">
        <f t="shared" si="2"/>
        <v>0</v>
      </c>
      <c r="O11" s="180">
        <f t="shared" si="0"/>
        <v>0.9315961429868459</v>
      </c>
      <c r="P11" s="180">
        <f t="shared" si="0"/>
        <v>2.9828170082789835E-5</v>
      </c>
      <c r="Q11" s="180">
        <f t="shared" si="0"/>
        <v>6.8374028843071255E-2</v>
      </c>
      <c r="T11" s="181"/>
      <c r="AE11" s="286" t="s">
        <v>590</v>
      </c>
      <c r="AF11" s="15">
        <f>D104</f>
        <v>126.4000372</v>
      </c>
      <c r="AG11" s="15">
        <f>AN11*Calculations!$C$47</f>
        <v>116.27914327868226</v>
      </c>
      <c r="AH11" s="15">
        <f>AO11*Calculations!$C$47</f>
        <v>99.042638493642727</v>
      </c>
      <c r="AI11" s="15">
        <f>AP11*Calculations!$C$47</f>
        <v>98.691255759189772</v>
      </c>
      <c r="AJ11" s="15">
        <f>AQ11*Calculations!$C$47</f>
        <v>97.659884779158133</v>
      </c>
      <c r="AM11" s="286" t="s">
        <v>590</v>
      </c>
      <c r="AN11" s="15">
        <f>D112</f>
        <v>133.42922561340001</v>
      </c>
      <c r="AO11" s="15">
        <f>D120</f>
        <v>113.65049814000001</v>
      </c>
      <c r="AP11" s="15">
        <f>D128</f>
        <v>113.24728975000001</v>
      </c>
      <c r="AQ11" s="15">
        <f>D136</f>
        <v>112.06380123000001</v>
      </c>
    </row>
    <row r="12" spans="1:44" x14ac:dyDescent="0.25">
      <c r="B12" s="123" t="s">
        <v>563</v>
      </c>
      <c r="C12" s="11" t="s">
        <v>564</v>
      </c>
      <c r="D12" s="15">
        <f t="shared" si="1"/>
        <v>13490.000147000001</v>
      </c>
      <c r="E12" s="178">
        <v>0</v>
      </c>
      <c r="F12" s="178">
        <v>12300</v>
      </c>
      <c r="G12" s="178">
        <v>1.47E-4</v>
      </c>
      <c r="H12" s="178">
        <v>1190</v>
      </c>
      <c r="L12" s="123" t="s">
        <v>563</v>
      </c>
      <c r="M12" s="11" t="s">
        <v>29</v>
      </c>
      <c r="N12" s="180">
        <f t="shared" si="2"/>
        <v>0</v>
      </c>
      <c r="O12" s="180">
        <f t="shared" si="0"/>
        <v>0.91178649858913152</v>
      </c>
      <c r="P12" s="180">
        <f t="shared" si="0"/>
        <v>1.0896960592894498E-8</v>
      </c>
      <c r="Q12" s="180">
        <f t="shared" si="0"/>
        <v>8.8213490513907852E-2</v>
      </c>
      <c r="T12" s="181"/>
      <c r="AE12" s="286"/>
      <c r="AF12" s="15">
        <f t="shared" ref="AF12:AI12" si="9">AF11-AG11</f>
        <v>10.120893921317744</v>
      </c>
      <c r="AG12" s="15">
        <f t="shared" si="9"/>
        <v>17.236504785039529</v>
      </c>
      <c r="AH12" s="15">
        <f t="shared" si="9"/>
        <v>0.35138273445295454</v>
      </c>
      <c r="AI12" s="15">
        <f t="shared" si="9"/>
        <v>1.0313709800316389</v>
      </c>
      <c r="AJ12" s="15">
        <f>AJ11-AK11</f>
        <v>97.659884779158133</v>
      </c>
      <c r="AM12" s="286"/>
      <c r="AN12" s="15">
        <f t="shared" ref="AN12:AP12" si="10">AN11-AO11</f>
        <v>19.778727473399996</v>
      </c>
      <c r="AO12" s="15">
        <f t="shared" si="10"/>
        <v>0.40320839000000319</v>
      </c>
      <c r="AP12" s="15">
        <f t="shared" si="10"/>
        <v>1.1834885199999974</v>
      </c>
      <c r="AQ12" s="15">
        <f>AQ11-AR11</f>
        <v>112.06380123000001</v>
      </c>
    </row>
    <row r="13" spans="1:44" ht="18" x14ac:dyDescent="0.25">
      <c r="B13" s="123" t="s">
        <v>565</v>
      </c>
      <c r="C13" s="11" t="s">
        <v>566</v>
      </c>
      <c r="D13" s="15">
        <f t="shared" si="1"/>
        <v>4.1400009500000001</v>
      </c>
      <c r="E13" s="178">
        <v>0</v>
      </c>
      <c r="F13" s="178">
        <v>3.98</v>
      </c>
      <c r="G13" s="178">
        <v>9.5000000000000001E-7</v>
      </c>
      <c r="H13" s="178">
        <v>0.16</v>
      </c>
      <c r="L13" s="123" t="s">
        <v>565</v>
      </c>
      <c r="M13" s="11" t="s">
        <v>29</v>
      </c>
      <c r="N13" s="180">
        <f t="shared" si="2"/>
        <v>0</v>
      </c>
      <c r="O13" s="180">
        <f t="shared" si="0"/>
        <v>0.96135243640463408</v>
      </c>
      <c r="P13" s="180">
        <f t="shared" si="0"/>
        <v>2.2946854637799057E-7</v>
      </c>
      <c r="Q13" s="180">
        <f t="shared" si="0"/>
        <v>3.8647334126819463E-2</v>
      </c>
      <c r="T13" s="181"/>
      <c r="AE13" s="123" t="s">
        <v>597</v>
      </c>
      <c r="AF13" s="182">
        <f>AF12/$AF$11</f>
        <v>8.0070339736559387E-2</v>
      </c>
      <c r="AG13" s="182">
        <f>AG12/$AF$11</f>
        <v>0.13636471291354596</v>
      </c>
      <c r="AH13" s="182">
        <f>AH12/$AF$11</f>
        <v>2.7799258784787333E-3</v>
      </c>
      <c r="AI13" s="182">
        <f>AI12/$AF$11</f>
        <v>8.159578136830159E-3</v>
      </c>
      <c r="AJ13" s="182">
        <f>AJ12/$AF$11</f>
        <v>0.77262544333458583</v>
      </c>
      <c r="AK13" s="183">
        <f>SUM(AF13:AJ13)</f>
        <v>1</v>
      </c>
      <c r="AM13" s="123" t="s">
        <v>597</v>
      </c>
      <c r="AN13" s="174">
        <f>AN12/$AN$11</f>
        <v>0.14823384743839554</v>
      </c>
      <c r="AO13" s="174">
        <f t="shared" ref="AO13:AQ13" si="11">AO12/$AN$11</f>
        <v>3.0218896058669012E-3</v>
      </c>
      <c r="AP13" s="174">
        <f t="shared" si="11"/>
        <v>8.869784820823708E-3</v>
      </c>
      <c r="AQ13" s="174">
        <f t="shared" si="11"/>
        <v>0.83987447813491389</v>
      </c>
      <c r="AR13" s="184">
        <f>SUM(AN13:AQ13)</f>
        <v>1</v>
      </c>
    </row>
    <row r="14" spans="1:44" x14ac:dyDescent="0.25">
      <c r="B14" s="123" t="s">
        <v>567</v>
      </c>
      <c r="C14" s="11" t="s">
        <v>568</v>
      </c>
      <c r="D14" s="15">
        <f t="shared" si="1"/>
        <v>13.462000000000002</v>
      </c>
      <c r="E14" s="178">
        <v>0</v>
      </c>
      <c r="F14" s="178">
        <v>12.8</v>
      </c>
      <c r="G14" s="178">
        <v>0</v>
      </c>
      <c r="H14" s="178">
        <v>0.66200000000000003</v>
      </c>
      <c r="L14" s="123" t="s">
        <v>567</v>
      </c>
      <c r="M14" s="11" t="s">
        <v>29</v>
      </c>
      <c r="N14" s="180">
        <f t="shared" si="2"/>
        <v>0</v>
      </c>
      <c r="O14" s="180">
        <f t="shared" si="0"/>
        <v>0.95082454315852027</v>
      </c>
      <c r="P14" s="180">
        <f t="shared" si="0"/>
        <v>0</v>
      </c>
      <c r="Q14" s="180">
        <f t="shared" si="0"/>
        <v>4.9175456841479719E-2</v>
      </c>
      <c r="T14" s="181"/>
      <c r="AE14" s="287" t="s">
        <v>593</v>
      </c>
      <c r="AF14" s="15">
        <f>D106</f>
        <v>5079.1499999999996</v>
      </c>
      <c r="AG14" s="15">
        <f>AN14*Calculations!$C$47</f>
        <v>4780.5174531178245</v>
      </c>
      <c r="AH14" s="15">
        <f>AO14*Calculations!$C$47</f>
        <v>4149.5465991088831</v>
      </c>
      <c r="AI14" s="15">
        <f>AP14*Calculations!$C$47</f>
        <v>4098.0934791995196</v>
      </c>
      <c r="AJ14" s="15">
        <f>AQ14*Calculations!$C$47</f>
        <v>3935.9779011765409</v>
      </c>
      <c r="AM14" s="287" t="s">
        <v>593</v>
      </c>
      <c r="AN14" s="15">
        <f>D114</f>
        <v>5485.5989115099992</v>
      </c>
      <c r="AO14" s="15">
        <f>D122</f>
        <v>4761.5657782999997</v>
      </c>
      <c r="AP14" s="15">
        <f>D130</f>
        <v>4702.5238061</v>
      </c>
      <c r="AQ14" s="15">
        <f>D138</f>
        <v>4516.4977018</v>
      </c>
    </row>
    <row r="15" spans="1:44" ht="18" x14ac:dyDescent="0.25">
      <c r="B15" s="123" t="s">
        <v>569</v>
      </c>
      <c r="C15" s="11" t="s">
        <v>566</v>
      </c>
      <c r="D15" s="15">
        <f t="shared" si="1"/>
        <v>1.3446033900000001</v>
      </c>
      <c r="E15" s="178">
        <v>0</v>
      </c>
      <c r="F15" s="178">
        <v>1.3</v>
      </c>
      <c r="G15" s="178">
        <v>3.3900000000000002E-6</v>
      </c>
      <c r="H15" s="178">
        <v>4.4600000000000001E-2</v>
      </c>
      <c r="L15" s="123" t="s">
        <v>569</v>
      </c>
      <c r="M15" s="11" t="s">
        <v>29</v>
      </c>
      <c r="N15" s="180">
        <f t="shared" si="2"/>
        <v>0</v>
      </c>
      <c r="O15" s="180">
        <f t="shared" si="0"/>
        <v>0.96682784653696285</v>
      </c>
      <c r="P15" s="180">
        <f t="shared" si="0"/>
        <v>2.5211895382771569E-6</v>
      </c>
      <c r="Q15" s="180">
        <f t="shared" si="0"/>
        <v>3.3169632273498881E-2</v>
      </c>
      <c r="T15" s="181"/>
      <c r="AE15" s="287"/>
      <c r="AF15" s="15">
        <f t="shared" ref="AF15:AI15" si="12">AF14-AG14</f>
        <v>298.63254688217512</v>
      </c>
      <c r="AG15" s="15">
        <f t="shared" si="12"/>
        <v>630.97085400894139</v>
      </c>
      <c r="AH15" s="15">
        <f t="shared" si="12"/>
        <v>51.453119909363522</v>
      </c>
      <c r="AI15" s="15">
        <f t="shared" si="12"/>
        <v>162.11557802297875</v>
      </c>
      <c r="AJ15" s="15">
        <f>AJ14-AK14</f>
        <v>3935.9779011765409</v>
      </c>
      <c r="AM15" s="287"/>
      <c r="AN15" s="15">
        <f t="shared" ref="AN15:AP15" si="13">AN14-AO14</f>
        <v>724.03313320999951</v>
      </c>
      <c r="AO15" s="15">
        <f t="shared" si="13"/>
        <v>59.041972199999691</v>
      </c>
      <c r="AP15" s="15">
        <f t="shared" si="13"/>
        <v>186.02610430000004</v>
      </c>
      <c r="AQ15" s="15">
        <f>AQ14-AR14</f>
        <v>4516.4977018</v>
      </c>
    </row>
    <row r="16" spans="1:44" ht="18" x14ac:dyDescent="0.25">
      <c r="B16" s="123" t="s">
        <v>570</v>
      </c>
      <c r="C16" s="11" t="s">
        <v>571</v>
      </c>
      <c r="D16" s="15">
        <f t="shared" si="1"/>
        <v>0.10822</v>
      </c>
      <c r="E16" s="178">
        <v>0</v>
      </c>
      <c r="F16" s="178">
        <v>0.106</v>
      </c>
      <c r="G16" s="178">
        <v>0</v>
      </c>
      <c r="H16" s="178">
        <v>2.2200000000000002E-3</v>
      </c>
      <c r="L16" s="123" t="s">
        <v>570</v>
      </c>
      <c r="M16" s="11" t="s">
        <v>29</v>
      </c>
      <c r="N16" s="180">
        <f t="shared" si="2"/>
        <v>0</v>
      </c>
      <c r="O16" s="180">
        <f t="shared" si="0"/>
        <v>0.9794862317501386</v>
      </c>
      <c r="P16" s="180">
        <f t="shared" si="0"/>
        <v>0</v>
      </c>
      <c r="Q16" s="180">
        <f t="shared" si="0"/>
        <v>2.0513768249861397E-2</v>
      </c>
      <c r="T16" s="181"/>
      <c r="AE16" s="123" t="s">
        <v>597</v>
      </c>
      <c r="AF16" s="182">
        <f>AF15/$AF$14</f>
        <v>5.8795772300911597E-2</v>
      </c>
      <c r="AG16" s="182">
        <f>AG15/$AF$14</f>
        <v>0.12422764714744425</v>
      </c>
      <c r="AH16" s="182">
        <f>AH15/$AF$14</f>
        <v>1.0130261935434773E-2</v>
      </c>
      <c r="AI16" s="182">
        <f>AI15/$AF$14</f>
        <v>3.1917855944986612E-2</v>
      </c>
      <c r="AJ16" s="182">
        <f>AJ15/$AF$14</f>
        <v>0.77492846267122273</v>
      </c>
      <c r="AK16" s="183">
        <f>SUM(AF16:AJ16)</f>
        <v>1</v>
      </c>
      <c r="AM16" s="123" t="s">
        <v>597</v>
      </c>
      <c r="AN16" s="174">
        <f>AN15/$AN$14</f>
        <v>0.1319879825137813</v>
      </c>
      <c r="AO16" s="174">
        <f t="shared" ref="AO16:AQ16" si="14">AO15/$AN$14</f>
        <v>1.0763085882220915E-2</v>
      </c>
      <c r="AP16" s="174">
        <f t="shared" si="14"/>
        <v>3.3911721819412668E-2</v>
      </c>
      <c r="AQ16" s="174">
        <f t="shared" si="14"/>
        <v>0.82333720978458513</v>
      </c>
      <c r="AR16" s="184">
        <f>SUM(AN16:AQ16)</f>
        <v>1</v>
      </c>
    </row>
    <row r="17" spans="2:45" ht="18" x14ac:dyDescent="0.25">
      <c r="B17" s="171" t="s">
        <v>572</v>
      </c>
      <c r="C17" s="161" t="s">
        <v>573</v>
      </c>
      <c r="D17" s="185">
        <f>SUM(E17:J17)</f>
        <v>302.10000002370003</v>
      </c>
      <c r="E17" s="186">
        <v>0</v>
      </c>
      <c r="F17" s="186">
        <v>284</v>
      </c>
      <c r="G17" s="186">
        <v>2.37E-8</v>
      </c>
      <c r="H17" s="186">
        <v>18.100000000000001</v>
      </c>
      <c r="L17" s="187" t="s">
        <v>572</v>
      </c>
      <c r="M17" s="153" t="s">
        <v>29</v>
      </c>
      <c r="N17" s="188">
        <f t="shared" si="2"/>
        <v>0</v>
      </c>
      <c r="O17" s="188">
        <f t="shared" si="0"/>
        <v>0.94008606414339602</v>
      </c>
      <c r="P17" s="188">
        <f t="shared" si="0"/>
        <v>7.845084408520593E-11</v>
      </c>
      <c r="Q17" s="188">
        <f t="shared" si="0"/>
        <v>5.9913935778153057E-2</v>
      </c>
      <c r="T17" s="181"/>
    </row>
    <row r="18" spans="2:45" x14ac:dyDescent="0.25">
      <c r="B18" s="123" t="s">
        <v>574</v>
      </c>
      <c r="C18" s="11" t="s">
        <v>575</v>
      </c>
      <c r="D18" s="15">
        <f t="shared" si="1"/>
        <v>5068.03</v>
      </c>
      <c r="E18" s="178">
        <v>0</v>
      </c>
      <c r="F18" s="178">
        <v>4770</v>
      </c>
      <c r="G18" s="178">
        <v>2.0299999999999998</v>
      </c>
      <c r="H18" s="178">
        <v>296</v>
      </c>
      <c r="L18" s="123" t="s">
        <v>574</v>
      </c>
      <c r="M18" s="11" t="s">
        <v>29</v>
      </c>
      <c r="N18" s="180">
        <f t="shared" si="2"/>
        <v>0</v>
      </c>
      <c r="O18" s="180">
        <f t="shared" si="0"/>
        <v>0.94119411289988419</v>
      </c>
      <c r="P18" s="180">
        <f t="shared" si="0"/>
        <v>4.0055011513349367E-4</v>
      </c>
      <c r="Q18" s="180">
        <f t="shared" si="0"/>
        <v>5.8405336984982334E-2</v>
      </c>
      <c r="T18" s="181"/>
    </row>
    <row r="19" spans="2:45" x14ac:dyDescent="0.25">
      <c r="B19" s="123" t="s">
        <v>576</v>
      </c>
      <c r="C19" s="11" t="s">
        <v>577</v>
      </c>
      <c r="D19" s="15">
        <f t="shared" si="1"/>
        <v>9.8569999999999993</v>
      </c>
      <c r="E19" s="178">
        <v>0</v>
      </c>
      <c r="F19" s="178">
        <v>9.3699999999999992</v>
      </c>
      <c r="G19" s="178">
        <v>0.12</v>
      </c>
      <c r="H19" s="178">
        <v>0.36699999999999999</v>
      </c>
      <c r="L19" s="123" t="s">
        <v>576</v>
      </c>
      <c r="M19" s="11" t="s">
        <v>29</v>
      </c>
      <c r="N19" s="180">
        <f t="shared" si="2"/>
        <v>0</v>
      </c>
      <c r="O19" s="180">
        <f t="shared" si="0"/>
        <v>0.95059348686212841</v>
      </c>
      <c r="P19" s="180">
        <f t="shared" si="0"/>
        <v>1.2174089479557676E-2</v>
      </c>
      <c r="Q19" s="180">
        <f t="shared" si="0"/>
        <v>3.723242365831389E-2</v>
      </c>
      <c r="T19" s="181"/>
    </row>
    <row r="20" spans="2:45" x14ac:dyDescent="0.25">
      <c r="I20" s="194"/>
      <c r="J20" s="194"/>
    </row>
    <row r="21" spans="2:45" ht="17.25" x14ac:dyDescent="0.25">
      <c r="B21" s="282" t="s">
        <v>647</v>
      </c>
      <c r="C21" s="282"/>
      <c r="D21" s="282"/>
      <c r="E21" s="282"/>
      <c r="F21" s="282"/>
      <c r="G21" s="282"/>
      <c r="H21" s="282"/>
      <c r="I21" s="282"/>
      <c r="J21" s="282"/>
      <c r="K21" s="282"/>
      <c r="L21" s="282"/>
      <c r="M21" s="282"/>
      <c r="N21" s="282"/>
      <c r="O21" s="282"/>
      <c r="P21" s="282"/>
      <c r="Q21" s="282"/>
      <c r="R21" s="282"/>
      <c r="S21" s="282"/>
      <c r="T21" s="282"/>
      <c r="U21" s="282"/>
      <c r="V21" s="282"/>
      <c r="W21" s="282"/>
      <c r="X21" s="282"/>
      <c r="Y21" s="282"/>
    </row>
    <row r="23" spans="2:45" ht="30.95" customHeight="1" x14ac:dyDescent="0.25">
      <c r="B23" s="162" t="s">
        <v>547</v>
      </c>
      <c r="C23" s="162" t="s">
        <v>337</v>
      </c>
      <c r="D23" s="162" t="s">
        <v>213</v>
      </c>
      <c r="E23" s="162" t="s">
        <v>578</v>
      </c>
      <c r="F23" s="162" t="s">
        <v>218</v>
      </c>
      <c r="G23" s="162" t="s">
        <v>579</v>
      </c>
      <c r="H23" s="162" t="s">
        <v>316</v>
      </c>
      <c r="I23" s="162" t="s">
        <v>580</v>
      </c>
      <c r="J23" s="162" t="s">
        <v>581</v>
      </c>
      <c r="L23" s="122" t="s">
        <v>547</v>
      </c>
      <c r="M23" s="122" t="s">
        <v>337</v>
      </c>
      <c r="N23" s="162" t="s">
        <v>578</v>
      </c>
      <c r="O23" s="162" t="s">
        <v>218</v>
      </c>
      <c r="P23" s="162" t="s">
        <v>579</v>
      </c>
      <c r="Q23" s="162" t="s">
        <v>316</v>
      </c>
      <c r="R23" s="162" t="s">
        <v>580</v>
      </c>
      <c r="S23" s="162" t="s">
        <v>581</v>
      </c>
    </row>
    <row r="24" spans="2:45" ht="18" x14ac:dyDescent="0.25">
      <c r="B24" s="123" t="s">
        <v>550</v>
      </c>
      <c r="C24" s="11" t="s">
        <v>551</v>
      </c>
      <c r="D24" s="15">
        <f>SUM(E24:J24)</f>
        <v>4.4193268846300002</v>
      </c>
      <c r="E24" s="178">
        <f>D43</f>
        <v>3.5229760800000003</v>
      </c>
      <c r="F24" s="178">
        <v>0.87846139999999995</v>
      </c>
      <c r="G24" s="178">
        <v>0</v>
      </c>
      <c r="H24" s="178">
        <v>1.4629999999999999E-8</v>
      </c>
      <c r="I24" s="178">
        <v>1.3694E-4</v>
      </c>
      <c r="J24" s="178">
        <v>1.7752449999999999E-2</v>
      </c>
      <c r="L24" s="123" t="s">
        <v>550</v>
      </c>
      <c r="M24" s="11" t="s">
        <v>29</v>
      </c>
      <c r="N24" s="180">
        <f>E24/$D24</f>
        <v>0.79717481235718879</v>
      </c>
      <c r="O24" s="180">
        <f t="shared" ref="O24:S38" si="15">F24/$D24</f>
        <v>0.19877719456671228</v>
      </c>
      <c r="P24" s="180">
        <f t="shared" si="15"/>
        <v>0</v>
      </c>
      <c r="Q24" s="180">
        <f t="shared" si="15"/>
        <v>3.3104588961006146E-9</v>
      </c>
      <c r="R24" s="180">
        <f t="shared" si="15"/>
        <v>3.0986619359673152E-5</v>
      </c>
      <c r="S24" s="180">
        <f t="shared" si="15"/>
        <v>4.0170031462803393E-3</v>
      </c>
      <c r="T24" s="181"/>
    </row>
    <row r="25" spans="2:45" ht="18" x14ac:dyDescent="0.25">
      <c r="B25" s="123" t="s">
        <v>552</v>
      </c>
      <c r="C25" s="11" t="s">
        <v>551</v>
      </c>
      <c r="D25" s="15">
        <f t="shared" ref="D25:D38" si="16">SUM(E25:J25)</f>
        <v>8.2164906533199993</v>
      </c>
      <c r="E25" s="178">
        <f t="shared" ref="E25:E38" si="17">D44</f>
        <v>4.283634890000001</v>
      </c>
      <c r="F25" s="178">
        <v>3.9256016200000001</v>
      </c>
      <c r="G25" s="178">
        <v>0</v>
      </c>
      <c r="H25" s="178">
        <v>3.1332E-7</v>
      </c>
      <c r="I25" s="178">
        <v>5.5433000000000001E-4</v>
      </c>
      <c r="J25" s="178">
        <v>6.6994999999999997E-3</v>
      </c>
      <c r="L25" s="123" t="s">
        <v>552</v>
      </c>
      <c r="M25" s="11" t="s">
        <v>29</v>
      </c>
      <c r="N25" s="180">
        <f t="shared" ref="N25:N38" si="18">E25/$D25</f>
        <v>0.52134604306634635</v>
      </c>
      <c r="O25" s="180">
        <f t="shared" si="15"/>
        <v>0.4777710808219322</v>
      </c>
      <c r="P25" s="180">
        <f t="shared" si="15"/>
        <v>0</v>
      </c>
      <c r="Q25" s="180">
        <f t="shared" si="15"/>
        <v>3.8133068388923228E-8</v>
      </c>
      <c r="R25" s="180">
        <f t="shared" si="15"/>
        <v>6.7465542576381372E-5</v>
      </c>
      <c r="S25" s="180">
        <f t="shared" si="15"/>
        <v>8.1537243607682599E-4</v>
      </c>
      <c r="T25" s="181"/>
      <c r="AS25" s="128" t="s">
        <v>572</v>
      </c>
    </row>
    <row r="26" spans="2:45" x14ac:dyDescent="0.25">
      <c r="B26" s="123" t="s">
        <v>553</v>
      </c>
      <c r="C26" s="11" t="s">
        <v>554</v>
      </c>
      <c r="D26" s="15">
        <f t="shared" si="16"/>
        <v>0.2979462642115</v>
      </c>
      <c r="E26" s="178">
        <f t="shared" si="17"/>
        <v>0.22063211000000002</v>
      </c>
      <c r="F26" s="178">
        <v>7.4588920000000003E-2</v>
      </c>
      <c r="G26" s="178">
        <v>1.9337E-4</v>
      </c>
      <c r="H26" s="178">
        <v>4.2115000000000002E-9</v>
      </c>
      <c r="I26" s="178">
        <v>1.0337199999999999E-3</v>
      </c>
      <c r="J26" s="178">
        <v>1.49814E-3</v>
      </c>
      <c r="L26" s="123" t="s">
        <v>553</v>
      </c>
      <c r="M26" s="11" t="s">
        <v>29</v>
      </c>
      <c r="N26" s="180">
        <f t="shared" si="18"/>
        <v>0.74050973783441099</v>
      </c>
      <c r="O26" s="180">
        <f t="shared" si="15"/>
        <v>0.25034353156733102</v>
      </c>
      <c r="P26" s="180">
        <f t="shared" si="15"/>
        <v>6.4900964780257979E-4</v>
      </c>
      <c r="Q26" s="180">
        <f t="shared" si="15"/>
        <v>1.4135099196982805E-8</v>
      </c>
      <c r="R26" s="180">
        <f t="shared" si="15"/>
        <v>3.4694846828695388E-3</v>
      </c>
      <c r="S26" s="180">
        <f t="shared" si="15"/>
        <v>5.0282221324867192E-3</v>
      </c>
      <c r="T26" s="181"/>
      <c r="AS26" s="128" t="s">
        <v>588</v>
      </c>
    </row>
    <row r="27" spans="2:45" x14ac:dyDescent="0.25">
      <c r="B27" s="123" t="s">
        <v>555</v>
      </c>
      <c r="C27" s="11" t="s">
        <v>556</v>
      </c>
      <c r="D27" s="15">
        <f t="shared" si="16"/>
        <v>8881.7712546499988</v>
      </c>
      <c r="E27" s="178">
        <f t="shared" si="17"/>
        <v>8448.5023258999991</v>
      </c>
      <c r="F27" s="178">
        <v>378.77173499999998</v>
      </c>
      <c r="G27" s="178">
        <v>0</v>
      </c>
      <c r="H27" s="178">
        <v>2.87587E-3</v>
      </c>
      <c r="I27" s="178">
        <v>0.99299488000000002</v>
      </c>
      <c r="J27" s="178">
        <v>53.501322999999999</v>
      </c>
      <c r="L27" s="123" t="s">
        <v>555</v>
      </c>
      <c r="M27" s="11" t="s">
        <v>29</v>
      </c>
      <c r="N27" s="180">
        <f t="shared" si="18"/>
        <v>0.95121818426440963</v>
      </c>
      <c r="O27" s="180">
        <f t="shared" si="15"/>
        <v>4.2645968257930114E-2</v>
      </c>
      <c r="P27" s="180">
        <f t="shared" si="15"/>
        <v>0</v>
      </c>
      <c r="Q27" s="180">
        <f t="shared" si="15"/>
        <v>3.2379464833597863E-7</v>
      </c>
      <c r="R27" s="180">
        <f t="shared" si="15"/>
        <v>1.1180144720346444E-4</v>
      </c>
      <c r="S27" s="180">
        <f t="shared" si="15"/>
        <v>6.0237222358085051E-3</v>
      </c>
      <c r="T27" s="181"/>
      <c r="AS27" s="128" t="s">
        <v>590</v>
      </c>
    </row>
    <row r="28" spans="2:45" x14ac:dyDescent="0.25">
      <c r="B28" s="123" t="s">
        <v>557</v>
      </c>
      <c r="C28" s="11" t="s">
        <v>558</v>
      </c>
      <c r="D28" s="15">
        <f t="shared" si="16"/>
        <v>4.96163152000104E-5</v>
      </c>
      <c r="E28" s="178">
        <f t="shared" si="17"/>
        <v>4.4773259999999998E-5</v>
      </c>
      <c r="F28" s="178">
        <v>4.6820999999999996E-6</v>
      </c>
      <c r="G28" s="178">
        <v>0</v>
      </c>
      <c r="H28" s="178">
        <v>1.0402999999999999E-17</v>
      </c>
      <c r="I28" s="178">
        <v>2.2652E-9</v>
      </c>
      <c r="J28" s="178">
        <v>1.5869E-7</v>
      </c>
      <c r="L28" s="123" t="s">
        <v>557</v>
      </c>
      <c r="M28" s="11" t="s">
        <v>29</v>
      </c>
      <c r="N28" s="180">
        <f t="shared" si="18"/>
        <v>0.90238986550114897</v>
      </c>
      <c r="O28" s="180">
        <f t="shared" si="15"/>
        <v>9.4366137048383994E-2</v>
      </c>
      <c r="P28" s="180">
        <f t="shared" si="15"/>
        <v>0</v>
      </c>
      <c r="Q28" s="180">
        <f t="shared" si="15"/>
        <v>2.0966893567295417E-13</v>
      </c>
      <c r="R28" s="180">
        <f t="shared" si="15"/>
        <v>4.5654337507101396E-5</v>
      </c>
      <c r="S28" s="180">
        <f t="shared" si="15"/>
        <v>3.1983431127502742E-3</v>
      </c>
      <c r="T28" s="181"/>
      <c r="AS28" s="128" t="s">
        <v>593</v>
      </c>
    </row>
    <row r="29" spans="2:45" ht="18" x14ac:dyDescent="0.25">
      <c r="B29" s="123" t="s">
        <v>559</v>
      </c>
      <c r="C29" s="11" t="s">
        <v>560</v>
      </c>
      <c r="D29" s="15">
        <f t="shared" si="16"/>
        <v>0.10937912403400002</v>
      </c>
      <c r="E29" s="178">
        <f t="shared" si="17"/>
        <v>9.5257280000000014E-2</v>
      </c>
      <c r="F29" s="178">
        <v>1.102714E-2</v>
      </c>
      <c r="G29" s="178">
        <v>8.8540000000000005E-4</v>
      </c>
      <c r="H29" s="178">
        <v>7.4034E-8</v>
      </c>
      <c r="I29" s="178">
        <v>2.07245E-3</v>
      </c>
      <c r="J29" s="178">
        <v>1.3678E-4</v>
      </c>
      <c r="L29" s="123" t="s">
        <v>559</v>
      </c>
      <c r="M29" s="11" t="s">
        <v>29</v>
      </c>
      <c r="N29" s="180">
        <f t="shared" si="18"/>
        <v>0.87089086552192274</v>
      </c>
      <c r="O29" s="180">
        <f t="shared" si="15"/>
        <v>0.10081576441014706</v>
      </c>
      <c r="P29" s="180">
        <f t="shared" si="15"/>
        <v>8.0947804969143597E-3</v>
      </c>
      <c r="Q29" s="180">
        <f t="shared" si="15"/>
        <v>6.7685676452287969E-7</v>
      </c>
      <c r="R29" s="180">
        <f t="shared" si="15"/>
        <v>1.894739986540565E-2</v>
      </c>
      <c r="S29" s="180">
        <f t="shared" si="15"/>
        <v>1.2505128488456585E-3</v>
      </c>
      <c r="T29" s="181"/>
    </row>
    <row r="30" spans="2:45" x14ac:dyDescent="0.25">
      <c r="B30" s="123" t="s">
        <v>561</v>
      </c>
      <c r="C30" s="11" t="s">
        <v>562</v>
      </c>
      <c r="D30" s="15">
        <f t="shared" si="16"/>
        <v>24953.3419006392</v>
      </c>
      <c r="E30" s="178">
        <f t="shared" si="17"/>
        <v>20671.136864</v>
      </c>
      <c r="F30" s="178">
        <v>4219.3481300000003</v>
      </c>
      <c r="G30" s="178">
        <v>1.6391999999999999E-6</v>
      </c>
      <c r="H30" s="178">
        <v>0.13349721000000001</v>
      </c>
      <c r="I30" s="178">
        <v>0.57000578999999996</v>
      </c>
      <c r="J30" s="178">
        <v>62.153402</v>
      </c>
      <c r="L30" s="123" t="s">
        <v>561</v>
      </c>
      <c r="M30" s="11" t="s">
        <v>29</v>
      </c>
      <c r="N30" s="180">
        <f t="shared" si="18"/>
        <v>0.82839152151682305</v>
      </c>
      <c r="O30" s="180">
        <f t="shared" si="15"/>
        <v>0.1690895009895215</v>
      </c>
      <c r="P30" s="180">
        <f t="shared" si="15"/>
        <v>6.5690599941565757E-11</v>
      </c>
      <c r="Q30" s="180">
        <f t="shared" si="15"/>
        <v>5.3498729962330367E-6</v>
      </c>
      <c r="R30" s="180">
        <f t="shared" si="15"/>
        <v>2.284286378432537E-5</v>
      </c>
      <c r="S30" s="180">
        <f t="shared" si="15"/>
        <v>2.4907846911843053E-3</v>
      </c>
      <c r="T30" s="181"/>
    </row>
    <row r="31" spans="2:45" x14ac:dyDescent="0.25">
      <c r="B31" s="123" t="s">
        <v>563</v>
      </c>
      <c r="C31" s="11" t="s">
        <v>564</v>
      </c>
      <c r="D31" s="15">
        <f t="shared" si="16"/>
        <v>14133.384438131798</v>
      </c>
      <c r="E31" s="178">
        <f t="shared" si="17"/>
        <v>12764.871373099999</v>
      </c>
      <c r="F31" s="178">
        <v>1352.92813</v>
      </c>
      <c r="G31" s="178">
        <v>6.4938000000000004E-6</v>
      </c>
      <c r="H31" s="178">
        <v>2.8178E-5</v>
      </c>
      <c r="I31" s="178">
        <v>0.72918685999999999</v>
      </c>
      <c r="J31" s="178">
        <v>14.8557135</v>
      </c>
      <c r="L31" s="123" t="s">
        <v>563</v>
      </c>
      <c r="M31" s="11" t="s">
        <v>29</v>
      </c>
      <c r="N31" s="180">
        <f t="shared" si="18"/>
        <v>0.90317159552105886</v>
      </c>
      <c r="O31" s="180">
        <f t="shared" si="15"/>
        <v>9.5725700798869301E-2</v>
      </c>
      <c r="P31" s="180">
        <f t="shared" si="15"/>
        <v>4.59465319748875E-10</v>
      </c>
      <c r="Q31" s="180">
        <f t="shared" si="15"/>
        <v>1.9937192059939941E-9</v>
      </c>
      <c r="R31" s="180">
        <f t="shared" si="15"/>
        <v>5.1593223349437637E-5</v>
      </c>
      <c r="S31" s="180">
        <f t="shared" si="15"/>
        <v>1.0511080035380176E-3</v>
      </c>
      <c r="T31" s="181"/>
    </row>
    <row r="32" spans="2:45" ht="18.75" thickBot="1" x14ac:dyDescent="0.3">
      <c r="B32" s="123" t="s">
        <v>565</v>
      </c>
      <c r="C32" s="11" t="s">
        <v>566</v>
      </c>
      <c r="D32" s="15">
        <f t="shared" si="16"/>
        <v>4.5688305316700015</v>
      </c>
      <c r="E32" s="178">
        <f t="shared" si="17"/>
        <v>3.3905095400000005</v>
      </c>
      <c r="F32" s="178">
        <v>1.1252619100000001</v>
      </c>
      <c r="G32" s="178">
        <v>2.47912E-3</v>
      </c>
      <c r="H32" s="178">
        <v>1.8167000000000001E-7</v>
      </c>
      <c r="I32" s="178">
        <v>2.7223299999999999E-2</v>
      </c>
      <c r="J32" s="178">
        <v>2.3356479999999999E-2</v>
      </c>
      <c r="L32" s="123" t="s">
        <v>565</v>
      </c>
      <c r="M32" s="11" t="s">
        <v>29</v>
      </c>
      <c r="N32" s="180">
        <f t="shared" si="18"/>
        <v>0.74209571059767443</v>
      </c>
      <c r="O32" s="180">
        <f t="shared" si="15"/>
        <v>0.24629101521712465</v>
      </c>
      <c r="P32" s="180">
        <f t="shared" si="15"/>
        <v>5.4261588010659501E-4</v>
      </c>
      <c r="Q32" s="180">
        <f t="shared" si="15"/>
        <v>3.9762910604958661E-8</v>
      </c>
      <c r="R32" s="180">
        <f t="shared" si="15"/>
        <v>5.9584832073097975E-3</v>
      </c>
      <c r="S32" s="180">
        <f t="shared" si="15"/>
        <v>5.1121353348736976E-3</v>
      </c>
      <c r="T32" s="181"/>
    </row>
    <row r="33" spans="2:43" ht="18" thickBot="1" x14ac:dyDescent="0.3">
      <c r="B33" s="123" t="s">
        <v>567</v>
      </c>
      <c r="C33" s="11" t="s">
        <v>568</v>
      </c>
      <c r="D33" s="15">
        <f t="shared" si="16"/>
        <v>14.653125950000002</v>
      </c>
      <c r="E33" s="178">
        <f t="shared" si="17"/>
        <v>7.7601271599999997</v>
      </c>
      <c r="F33" s="178">
        <v>6.8756502800000003</v>
      </c>
      <c r="G33" s="178">
        <v>0</v>
      </c>
      <c r="H33" s="178">
        <v>0</v>
      </c>
      <c r="I33" s="178">
        <v>1.0483000000000001E-3</v>
      </c>
      <c r="J33" s="178">
        <v>1.6300209999999999E-2</v>
      </c>
      <c r="L33" s="123" t="s">
        <v>567</v>
      </c>
      <c r="M33" s="11" t="s">
        <v>29</v>
      </c>
      <c r="N33" s="180">
        <f t="shared" si="18"/>
        <v>0.52958851145342123</v>
      </c>
      <c r="O33" s="180">
        <f t="shared" si="15"/>
        <v>0.46922754253675131</v>
      </c>
      <c r="P33" s="180">
        <f t="shared" si="15"/>
        <v>0</v>
      </c>
      <c r="Q33" s="180">
        <f t="shared" si="15"/>
        <v>0</v>
      </c>
      <c r="R33" s="180">
        <f t="shared" si="15"/>
        <v>7.154104889134594E-5</v>
      </c>
      <c r="S33" s="180">
        <f t="shared" si="15"/>
        <v>1.1124049609359972E-3</v>
      </c>
      <c r="T33" s="181"/>
      <c r="AF33" s="279" t="s">
        <v>609</v>
      </c>
      <c r="AG33" s="280"/>
      <c r="AH33" s="280"/>
      <c r="AI33" s="280"/>
      <c r="AJ33" s="281"/>
      <c r="AN33" s="279" t="s">
        <v>610</v>
      </c>
      <c r="AO33" s="280"/>
      <c r="AP33" s="280"/>
      <c r="AQ33" s="281"/>
    </row>
    <row r="34" spans="2:43" ht="18" x14ac:dyDescent="0.25">
      <c r="B34" s="123" t="s">
        <v>569</v>
      </c>
      <c r="C34" s="11" t="s">
        <v>566</v>
      </c>
      <c r="D34" s="15">
        <f t="shared" si="16"/>
        <v>1.4962749482399997</v>
      </c>
      <c r="E34" s="178">
        <f t="shared" si="17"/>
        <v>1.0574358099999999</v>
      </c>
      <c r="F34" s="178">
        <v>0.42059669999999999</v>
      </c>
      <c r="G34" s="178">
        <v>2.47912E-3</v>
      </c>
      <c r="H34" s="178">
        <v>6.4824000000000004E-7</v>
      </c>
      <c r="I34" s="178">
        <v>7.7548499999999998E-3</v>
      </c>
      <c r="J34" s="178">
        <v>8.0078200000000006E-3</v>
      </c>
      <c r="L34" s="123" t="s">
        <v>569</v>
      </c>
      <c r="M34" s="11" t="s">
        <v>29</v>
      </c>
      <c r="N34" s="180">
        <f t="shared" si="18"/>
        <v>0.70671223309847808</v>
      </c>
      <c r="O34" s="180">
        <f t="shared" si="15"/>
        <v>0.28109586442968171</v>
      </c>
      <c r="P34" s="180">
        <f t="shared" si="15"/>
        <v>1.6568612626416531E-3</v>
      </c>
      <c r="Q34" s="180">
        <f t="shared" si="15"/>
        <v>4.3323588406161268E-7</v>
      </c>
      <c r="R34" s="180">
        <f t="shared" si="15"/>
        <v>5.1827707261433986E-3</v>
      </c>
      <c r="S34" s="180">
        <f t="shared" si="15"/>
        <v>5.351837247171207E-3</v>
      </c>
      <c r="T34" s="181"/>
    </row>
    <row r="35" spans="2:43" ht="30" x14ac:dyDescent="0.25">
      <c r="B35" s="123" t="s">
        <v>570</v>
      </c>
      <c r="C35" s="11" t="s">
        <v>571</v>
      </c>
      <c r="D35" s="15">
        <f t="shared" si="16"/>
        <v>0.12204439269999999</v>
      </c>
      <c r="E35" s="178">
        <f t="shared" si="17"/>
        <v>3.5375870000000004E-2</v>
      </c>
      <c r="F35" s="178">
        <v>7.4828389999999995E-2</v>
      </c>
      <c r="G35" s="178">
        <v>1.168728E-2</v>
      </c>
      <c r="H35" s="178">
        <v>0</v>
      </c>
      <c r="I35" s="178">
        <v>1.7927E-6</v>
      </c>
      <c r="J35" s="178">
        <v>1.5106000000000001E-4</v>
      </c>
      <c r="L35" s="123" t="s">
        <v>570</v>
      </c>
      <c r="M35" s="11" t="s">
        <v>29</v>
      </c>
      <c r="N35" s="180">
        <f t="shared" si="18"/>
        <v>0.28986067460680648</v>
      </c>
      <c r="O35" s="180">
        <f t="shared" si="15"/>
        <v>0.61312435864167314</v>
      </c>
      <c r="P35" s="180">
        <f t="shared" si="15"/>
        <v>9.5762531497278702E-2</v>
      </c>
      <c r="Q35" s="180">
        <f t="shared" si="15"/>
        <v>0</v>
      </c>
      <c r="R35" s="180">
        <f t="shared" si="15"/>
        <v>1.4688917371293537E-5</v>
      </c>
      <c r="S35" s="180">
        <f t="shared" si="15"/>
        <v>1.2377463368704199E-3</v>
      </c>
      <c r="T35" s="181"/>
      <c r="AF35" s="162" t="s">
        <v>615</v>
      </c>
      <c r="AG35" s="162" t="s">
        <v>548</v>
      </c>
      <c r="AH35" s="162" t="s">
        <v>578</v>
      </c>
      <c r="AI35" s="162" t="s">
        <v>583</v>
      </c>
      <c r="AJ35" s="162" t="s">
        <v>596</v>
      </c>
      <c r="AN35" s="162" t="s">
        <v>548</v>
      </c>
      <c r="AO35" s="162" t="s">
        <v>578</v>
      </c>
      <c r="AP35" s="162" t="s">
        <v>583</v>
      </c>
      <c r="AQ35" s="162" t="s">
        <v>596</v>
      </c>
    </row>
    <row r="36" spans="2:43" ht="18" x14ac:dyDescent="0.25">
      <c r="B36" s="171" t="s">
        <v>572</v>
      </c>
      <c r="C36" s="161" t="s">
        <v>573</v>
      </c>
      <c r="D36" s="185">
        <f t="shared" si="16"/>
        <v>325.74502739454198</v>
      </c>
      <c r="E36" s="186">
        <f t="shared" si="17"/>
        <v>267.33180666999999</v>
      </c>
      <c r="F36" s="186">
        <v>48.431099799999998</v>
      </c>
      <c r="G36" s="186">
        <v>2.1249600000000002</v>
      </c>
      <c r="H36" s="186">
        <v>4.5420999999999999E-9</v>
      </c>
      <c r="I36" s="186">
        <v>6.68803503</v>
      </c>
      <c r="J36" s="186">
        <v>1.1691258899999999</v>
      </c>
      <c r="L36" s="187" t="s">
        <v>572</v>
      </c>
      <c r="M36" s="153" t="s">
        <v>29</v>
      </c>
      <c r="N36" s="188">
        <f t="shared" si="18"/>
        <v>0.82067808926583563</v>
      </c>
      <c r="O36" s="188">
        <f t="shared" si="15"/>
        <v>0.14867794049651081</v>
      </c>
      <c r="P36" s="188">
        <f t="shared" si="15"/>
        <v>6.5233843076482369E-3</v>
      </c>
      <c r="Q36" s="188">
        <f t="shared" si="15"/>
        <v>1.3943727817826714E-11</v>
      </c>
      <c r="R36" s="188">
        <f t="shared" si="15"/>
        <v>2.0531503070036001E-2</v>
      </c>
      <c r="S36" s="188">
        <f t="shared" si="15"/>
        <v>3.5890828460259381E-3</v>
      </c>
      <c r="T36" s="181"/>
      <c r="AE36" s="286" t="str">
        <f>$B$24</f>
        <v>Carcinogens</v>
      </c>
      <c r="AF36" s="15">
        <f>D5</f>
        <v>3.9940000765000003</v>
      </c>
      <c r="AG36" s="15">
        <f>AN36*Calculations!$C$47</f>
        <v>3.851296757894223</v>
      </c>
      <c r="AH36" s="15">
        <f>AO36*Calculations!$C$47</f>
        <v>3.070156770306177</v>
      </c>
      <c r="AI36" s="15">
        <f>AP36*Calculations!$C$47</f>
        <v>3.0318137290375495</v>
      </c>
      <c r="AJ36" s="15">
        <f>AQ36*Calculations!$C$47</f>
        <v>2.9797251722970932</v>
      </c>
      <c r="AM36" s="286" t="str">
        <f>$B$24</f>
        <v>Carcinogens</v>
      </c>
      <c r="AN36" s="15">
        <f>D24</f>
        <v>4.4193268846300002</v>
      </c>
      <c r="AO36" s="15">
        <f>D43</f>
        <v>3.5229760800000003</v>
      </c>
      <c r="AP36" s="15">
        <f>D62</f>
        <v>3.4789778000000005</v>
      </c>
      <c r="AQ36" s="15">
        <f>D81</f>
        <v>3.4192066700000003</v>
      </c>
    </row>
    <row r="37" spans="2:43" x14ac:dyDescent="0.25">
      <c r="B37" s="123" t="s">
        <v>574</v>
      </c>
      <c r="C37" s="11" t="s">
        <v>575</v>
      </c>
      <c r="D37" s="15">
        <f t="shared" si="16"/>
        <v>5477.6106436200007</v>
      </c>
      <c r="E37" s="178">
        <f t="shared" si="17"/>
        <v>4759.1778172000004</v>
      </c>
      <c r="F37" s="178">
        <v>556.53892299999995</v>
      </c>
      <c r="G37" s="178">
        <v>24.7912</v>
      </c>
      <c r="H37" s="178">
        <v>0.38869322000000001</v>
      </c>
      <c r="I37" s="178">
        <v>112.90500299999999</v>
      </c>
      <c r="J37" s="178">
        <v>23.8090072</v>
      </c>
      <c r="L37" s="123" t="s">
        <v>574</v>
      </c>
      <c r="M37" s="11" t="s">
        <v>29</v>
      </c>
      <c r="N37" s="180">
        <f t="shared" si="18"/>
        <v>0.86884193252092701</v>
      </c>
      <c r="O37" s="180">
        <f t="shared" si="15"/>
        <v>0.10160249773287991</v>
      </c>
      <c r="P37" s="180">
        <f t="shared" si="15"/>
        <v>4.5259149678474019E-3</v>
      </c>
      <c r="Q37" s="180">
        <f t="shared" si="15"/>
        <v>7.0960359413775975E-5</v>
      </c>
      <c r="R37" s="180">
        <f t="shared" si="15"/>
        <v>2.061208989571121E-2</v>
      </c>
      <c r="S37" s="180">
        <f t="shared" si="15"/>
        <v>4.3466045232206001E-3</v>
      </c>
      <c r="T37" s="181"/>
      <c r="AE37" s="286"/>
      <c r="AF37" s="15">
        <f>AF36-AG36</f>
        <v>0.14270331860577734</v>
      </c>
      <c r="AG37" s="15">
        <f>AG36-AH36</f>
        <v>0.78113998758804604</v>
      </c>
      <c r="AH37" s="15">
        <f t="shared" ref="AH37:AJ37" si="19">AH36-AI36</f>
        <v>3.834304126862742E-2</v>
      </c>
      <c r="AI37" s="15">
        <f t="shared" si="19"/>
        <v>5.2088556740456315E-2</v>
      </c>
      <c r="AJ37" s="15">
        <f t="shared" si="19"/>
        <v>2.9797251722970932</v>
      </c>
      <c r="AM37" s="286"/>
      <c r="AN37" s="15">
        <f>AN36-AO36</f>
        <v>0.89635080462999994</v>
      </c>
      <c r="AO37" s="15">
        <f t="shared" ref="AO37:AQ37" si="20">AO36-AP36</f>
        <v>4.3998279999999834E-2</v>
      </c>
      <c r="AP37" s="15">
        <f t="shared" si="20"/>
        <v>5.9771130000000117E-2</v>
      </c>
      <c r="AQ37" s="15">
        <f t="shared" si="20"/>
        <v>3.4192066700000003</v>
      </c>
    </row>
    <row r="38" spans="2:43" ht="30" x14ac:dyDescent="0.25">
      <c r="B38" s="123" t="s">
        <v>576</v>
      </c>
      <c r="C38" s="11" t="s">
        <v>577</v>
      </c>
      <c r="D38" s="15">
        <f t="shared" si="16"/>
        <v>10.75826878</v>
      </c>
      <c r="E38" s="178">
        <f t="shared" si="17"/>
        <v>5.1579621699999993</v>
      </c>
      <c r="F38" s="178">
        <v>5.5635632599999996</v>
      </c>
      <c r="G38" s="178">
        <v>0</v>
      </c>
      <c r="H38" s="178">
        <v>2.3045179999999998E-2</v>
      </c>
      <c r="I38" s="178">
        <v>4.1555999999999999E-4</v>
      </c>
      <c r="J38" s="178">
        <v>1.328261E-2</v>
      </c>
      <c r="L38" s="123" t="s">
        <v>576</v>
      </c>
      <c r="M38" s="11" t="s">
        <v>29</v>
      </c>
      <c r="N38" s="180">
        <f t="shared" si="18"/>
        <v>0.47944165325083088</v>
      </c>
      <c r="O38" s="180">
        <f t="shared" si="15"/>
        <v>0.51714298775866796</v>
      </c>
      <c r="P38" s="180">
        <f t="shared" si="15"/>
        <v>0</v>
      </c>
      <c r="Q38" s="180">
        <f t="shared" si="15"/>
        <v>2.1420900027002299E-3</v>
      </c>
      <c r="R38" s="180">
        <f t="shared" si="15"/>
        <v>3.8627032703676323E-5</v>
      </c>
      <c r="S38" s="180">
        <f t="shared" si="15"/>
        <v>1.2346419550971657E-3</v>
      </c>
      <c r="T38" s="181"/>
      <c r="AE38" s="123" t="s">
        <v>597</v>
      </c>
      <c r="AF38" s="174">
        <f>AF37/$AF36</f>
        <v>3.5729423102773272E-2</v>
      </c>
      <c r="AG38" s="174">
        <f t="shared" ref="AG38:AJ38" si="21">AG37/$AF36</f>
        <v>0.19557836069762177</v>
      </c>
      <c r="AH38" s="174">
        <f t="shared" si="21"/>
        <v>9.6001603741149594E-3</v>
      </c>
      <c r="AI38" s="174">
        <f t="shared" si="21"/>
        <v>1.3041701487923421E-2</v>
      </c>
      <c r="AJ38" s="174">
        <f t="shared" si="21"/>
        <v>0.74605035433756661</v>
      </c>
      <c r="AM38" s="173" t="s">
        <v>597</v>
      </c>
      <c r="AN38" s="174">
        <f>AN37/$AN$36</f>
        <v>0.20282518764281118</v>
      </c>
      <c r="AO38" s="174">
        <f t="shared" ref="AO38:AQ38" si="22">AO37/$AN$36</f>
        <v>9.9558781571514165E-3</v>
      </c>
      <c r="AP38" s="174">
        <f t="shared" si="22"/>
        <v>1.3524939783902032E-2</v>
      </c>
      <c r="AQ38" s="174">
        <f t="shared" si="22"/>
        <v>0.7736939944161354</v>
      </c>
    </row>
    <row r="39" spans="2:43" x14ac:dyDescent="0.25">
      <c r="AE39" s="286" t="str">
        <f>$B$25</f>
        <v>Non-carcinogens</v>
      </c>
      <c r="AF39" s="15">
        <f>D6</f>
        <v>7.4860016399999996</v>
      </c>
      <c r="AG39" s="15">
        <f>AN39*Calculations!$C$47</f>
        <v>7.1603990020414265</v>
      </c>
      <c r="AH39" s="15">
        <f>AO39*Calculations!$C$47</f>
        <v>3.733045686490513</v>
      </c>
      <c r="AI39" s="15">
        <f>AP39*Calculations!$C$47</f>
        <v>3.7185756160730916</v>
      </c>
      <c r="AJ39" s="15">
        <f>AQ39*Calculations!$C$47</f>
        <v>3.7020282911934688</v>
      </c>
      <c r="AM39" s="286" t="str">
        <f>$B$25</f>
        <v>Non-carcinogens</v>
      </c>
      <c r="AN39" s="15">
        <f>D25</f>
        <v>8.2164906533199993</v>
      </c>
      <c r="AO39" s="15">
        <f>D44</f>
        <v>4.283634890000001</v>
      </c>
      <c r="AP39" s="15">
        <f>D63</f>
        <v>4.2670306200000008</v>
      </c>
      <c r="AQ39" s="15">
        <f>D82</f>
        <v>4.2480427199999999</v>
      </c>
    </row>
    <row r="40" spans="2:43" x14ac:dyDescent="0.25">
      <c r="B40" s="283" t="s">
        <v>648</v>
      </c>
      <c r="C40" s="284"/>
      <c r="D40" s="284"/>
      <c r="E40" s="284"/>
      <c r="F40" s="284"/>
      <c r="G40" s="284"/>
      <c r="H40" s="284"/>
      <c r="I40" s="284"/>
      <c r="J40" s="284"/>
      <c r="K40" s="285"/>
      <c r="AE40" s="286"/>
      <c r="AF40" s="15">
        <f>AF39-AG39</f>
        <v>0.32560263795857303</v>
      </c>
      <c r="AG40" s="15">
        <f>AG39-AH39</f>
        <v>3.4273533155509135</v>
      </c>
      <c r="AH40" s="15">
        <f t="shared" ref="AH40:AJ40" si="23">AH39-AI39</f>
        <v>1.4470070417421432E-2</v>
      </c>
      <c r="AI40" s="15">
        <f t="shared" si="23"/>
        <v>1.6547324879622849E-2</v>
      </c>
      <c r="AJ40" s="15">
        <f t="shared" si="23"/>
        <v>3.7020282911934688</v>
      </c>
      <c r="AM40" s="286"/>
      <c r="AN40" s="15">
        <f>AN39-AO39</f>
        <v>3.9328557633199983</v>
      </c>
      <c r="AO40" s="15">
        <f t="shared" ref="AO40:AQ40" si="24">AO39-AP39</f>
        <v>1.6604270000000199E-2</v>
      </c>
      <c r="AP40" s="15">
        <f t="shared" si="24"/>
        <v>1.8987900000000835E-2</v>
      </c>
      <c r="AQ40" s="15">
        <f t="shared" si="24"/>
        <v>4.2480427199999999</v>
      </c>
    </row>
    <row r="41" spans="2:43" ht="30" x14ac:dyDescent="0.25">
      <c r="AE41" s="123" t="s">
        <v>597</v>
      </c>
      <c r="AF41" s="174">
        <f>AF40/$AF39</f>
        <v>4.3494865966736955E-2</v>
      </c>
      <c r="AG41" s="174">
        <f t="shared" ref="AG41:AJ41" si="25">AG40/$AF39</f>
        <v>0.4578349672323761</v>
      </c>
      <c r="AH41" s="174">
        <f t="shared" si="25"/>
        <v>1.9329504738689095E-3</v>
      </c>
      <c r="AI41" s="174">
        <f t="shared" si="25"/>
        <v>2.2104356471424509E-3</v>
      </c>
      <c r="AJ41" s="174">
        <f t="shared" si="25"/>
        <v>0.4945267806798756</v>
      </c>
      <c r="AM41" s="173" t="s">
        <v>597</v>
      </c>
      <c r="AN41" s="174">
        <f>AN40/$AN$39</f>
        <v>0.47865395693365359</v>
      </c>
      <c r="AO41" s="174">
        <f t="shared" ref="AO41:AQ41" si="26">AO40/$AN$39</f>
        <v>2.0208469406937119E-3</v>
      </c>
      <c r="AP41" s="174">
        <f t="shared" si="26"/>
        <v>2.3109501125433011E-3</v>
      </c>
      <c r="AQ41" s="174">
        <f t="shared" si="26"/>
        <v>0.51701424601310941</v>
      </c>
    </row>
    <row r="42" spans="2:43" ht="30.95" customHeight="1" x14ac:dyDescent="0.25">
      <c r="B42" s="162" t="s">
        <v>547</v>
      </c>
      <c r="C42" s="162" t="s">
        <v>337</v>
      </c>
      <c r="D42" s="162" t="s">
        <v>213</v>
      </c>
      <c r="E42" s="162" t="s">
        <v>583</v>
      </c>
      <c r="F42" s="162" t="s">
        <v>581</v>
      </c>
      <c r="H42" s="122" t="s">
        <v>547</v>
      </c>
      <c r="I42" s="122" t="s">
        <v>337</v>
      </c>
      <c r="J42" s="162" t="s">
        <v>583</v>
      </c>
      <c r="K42" s="162" t="s">
        <v>581</v>
      </c>
      <c r="AE42" s="286" t="str">
        <f>$B$26</f>
        <v>Respiratory inorganics</v>
      </c>
      <c r="AF42" s="15">
        <f>D7</f>
        <v>0.27140002200000002</v>
      </c>
      <c r="AG42" s="15">
        <f>AN42*Calculations!$C$47</f>
        <v>0.25965028415871888</v>
      </c>
      <c r="AH42" s="15">
        <f>AO42*Calculations!$C$47</f>
        <v>0.19227356385100325</v>
      </c>
      <c r="AI42" s="15">
        <f>AP42*Calculations!$C$47</f>
        <v>0.1890377639655878</v>
      </c>
      <c r="AJ42" s="15">
        <f>AQ42*Calculations!$C$47</f>
        <v>0.18936397142659928</v>
      </c>
      <c r="AM42" s="286" t="str">
        <f>$B$26</f>
        <v>Respiratory inorganics</v>
      </c>
      <c r="AN42" s="15">
        <f>D26</f>
        <v>0.2979462642115</v>
      </c>
      <c r="AO42" s="15">
        <f>D45</f>
        <v>0.22063211000000002</v>
      </c>
      <c r="AP42" s="15">
        <f>D64</f>
        <v>0.21691906000000002</v>
      </c>
      <c r="AQ42" s="15">
        <f>D83</f>
        <v>0.21729338000000001</v>
      </c>
    </row>
    <row r="43" spans="2:43" ht="18" x14ac:dyDescent="0.25">
      <c r="B43" s="123" t="s">
        <v>550</v>
      </c>
      <c r="C43" s="11" t="s">
        <v>551</v>
      </c>
      <c r="D43" s="15">
        <f>SUM(E43:F43)</f>
        <v>3.5229760800000003</v>
      </c>
      <c r="E43" s="178">
        <f>D62</f>
        <v>3.4789778000000005</v>
      </c>
      <c r="F43" s="178">
        <v>4.3998280000000001E-2</v>
      </c>
      <c r="H43" s="123" t="s">
        <v>550</v>
      </c>
      <c r="I43" s="11" t="s">
        <v>29</v>
      </c>
      <c r="J43" s="180">
        <f>E43/$D43</f>
        <v>0.98751104776164145</v>
      </c>
      <c r="K43" s="180">
        <f>F43/$D43</f>
        <v>1.2488952238358653E-2</v>
      </c>
      <c r="AE43" s="286"/>
      <c r="AF43" s="15">
        <f>AF42-AG42</f>
        <v>1.1749737841281138E-2</v>
      </c>
      <c r="AG43" s="15">
        <f>AG42-AH42</f>
        <v>6.7376720307715632E-2</v>
      </c>
      <c r="AH43" s="15">
        <f t="shared" ref="AH43:AJ43" si="27">AH42-AI42</f>
        <v>3.2357998854154468E-3</v>
      </c>
      <c r="AI43" s="15">
        <f t="shared" si="27"/>
        <v>-3.2620746101147402E-4</v>
      </c>
      <c r="AJ43" s="15">
        <f t="shared" si="27"/>
        <v>0.18936397142659928</v>
      </c>
      <c r="AM43" s="286"/>
      <c r="AN43" s="15">
        <f>AN42-AO42</f>
        <v>7.731415421149998E-2</v>
      </c>
      <c r="AO43" s="15">
        <f t="shared" ref="AO43:AQ43" si="28">AO42-AP42</f>
        <v>3.7130499999999955E-3</v>
      </c>
      <c r="AP43" s="15">
        <f t="shared" si="28"/>
        <v>-3.7431999999998355E-4</v>
      </c>
      <c r="AQ43" s="15">
        <f t="shared" si="28"/>
        <v>0.21729338000000001</v>
      </c>
    </row>
    <row r="44" spans="2:43" ht="30" x14ac:dyDescent="0.25">
      <c r="B44" s="123" t="s">
        <v>552</v>
      </c>
      <c r="C44" s="11" t="s">
        <v>551</v>
      </c>
      <c r="D44" s="15">
        <f t="shared" ref="D44:D57" si="29">SUM(E44:F44)</f>
        <v>4.283634890000001</v>
      </c>
      <c r="E44" s="178">
        <f t="shared" ref="E44:E57" si="30">D63</f>
        <v>4.2670306200000008</v>
      </c>
      <c r="F44" s="178">
        <v>1.6604270000000001E-2</v>
      </c>
      <c r="H44" s="123" t="s">
        <v>552</v>
      </c>
      <c r="I44" s="11" t="s">
        <v>29</v>
      </c>
      <c r="J44" s="180">
        <f t="shared" ref="J44:K57" si="31">E44/$D44</f>
        <v>0.9961237896257773</v>
      </c>
      <c r="K44" s="180">
        <f t="shared" si="31"/>
        <v>3.8762103742226261E-3</v>
      </c>
      <c r="AE44" s="123" t="s">
        <v>597</v>
      </c>
      <c r="AF44" s="174">
        <f>AF43/$AF42</f>
        <v>4.3293061491649909E-2</v>
      </c>
      <c r="AG44" s="174">
        <f t="shared" ref="AG44:AJ44" si="32">AG43/$AF42</f>
        <v>0.24825613428916976</v>
      </c>
      <c r="AH44" s="174">
        <f t="shared" si="32"/>
        <v>1.1922622045386005E-2</v>
      </c>
      <c r="AI44" s="174">
        <f t="shared" si="32"/>
        <v>-1.2019433845568148E-3</v>
      </c>
      <c r="AJ44" s="174">
        <f t="shared" si="32"/>
        <v>0.69773012555835112</v>
      </c>
      <c r="AM44" s="173" t="s">
        <v>597</v>
      </c>
      <c r="AN44" s="174">
        <f>AN43/$AN$42</f>
        <v>0.25949026216558901</v>
      </c>
      <c r="AO44" s="174">
        <f t="shared" ref="AO44:AQ44" si="33">AO43/$AN$42</f>
        <v>1.2462146521039281E-2</v>
      </c>
      <c r="AP44" s="174">
        <f t="shared" si="33"/>
        <v>-1.2563339264904121E-3</v>
      </c>
      <c r="AQ44" s="174">
        <f t="shared" si="33"/>
        <v>0.72930392523986209</v>
      </c>
    </row>
    <row r="45" spans="2:43" x14ac:dyDescent="0.25">
      <c r="B45" s="123" t="s">
        <v>553</v>
      </c>
      <c r="C45" s="11" t="s">
        <v>554</v>
      </c>
      <c r="D45" s="15">
        <f t="shared" si="29"/>
        <v>0.22063211000000002</v>
      </c>
      <c r="E45" s="178">
        <f t="shared" si="30"/>
        <v>0.21691906000000002</v>
      </c>
      <c r="F45" s="178">
        <v>3.7130499999999999E-3</v>
      </c>
      <c r="H45" s="123" t="s">
        <v>553</v>
      </c>
      <c r="I45" s="11" t="s">
        <v>29</v>
      </c>
      <c r="J45" s="180">
        <f t="shared" si="31"/>
        <v>0.98317085396137494</v>
      </c>
      <c r="K45" s="180">
        <f t="shared" si="31"/>
        <v>1.682914603862511E-2</v>
      </c>
      <c r="AE45" s="286" t="str">
        <f>$B$27</f>
        <v>Ionizing radiation</v>
      </c>
      <c r="AF45" s="15">
        <f>D8</f>
        <v>5532.0150000000003</v>
      </c>
      <c r="AG45" s="15">
        <f>AN45*Calculations!$C$47</f>
        <v>7740.1689737769884</v>
      </c>
      <c r="AH45" s="15">
        <f>AO45*Calculations!$C$47</f>
        <v>7362.5894771358653</v>
      </c>
      <c r="AI45" s="15">
        <f>AP45*Calculations!$C$47</f>
        <v>7247.0334156869358</v>
      </c>
      <c r="AJ45" s="15">
        <f>AQ45*Calculations!$C$47</f>
        <v>6768.0987825886214</v>
      </c>
      <c r="AM45" s="286" t="str">
        <f>$B$27</f>
        <v>Ionizing radiation</v>
      </c>
      <c r="AN45" s="15">
        <f>D27</f>
        <v>8881.7712546499988</v>
      </c>
      <c r="AO45" s="15">
        <f>D46</f>
        <v>8448.5023258999991</v>
      </c>
      <c r="AP45" s="15">
        <f>D65</f>
        <v>8315.9028298999983</v>
      </c>
      <c r="AQ45" s="15">
        <f>D84</f>
        <v>7766.3298332999993</v>
      </c>
    </row>
    <row r="46" spans="2:43" x14ac:dyDescent="0.25">
      <c r="B46" s="123" t="s">
        <v>555</v>
      </c>
      <c r="C46" s="11" t="s">
        <v>556</v>
      </c>
      <c r="D46" s="15">
        <f t="shared" si="29"/>
        <v>8448.5023258999991</v>
      </c>
      <c r="E46" s="178">
        <f t="shared" si="30"/>
        <v>8315.9028298999983</v>
      </c>
      <c r="F46" s="178">
        <v>132.59949599999999</v>
      </c>
      <c r="H46" s="123" t="s">
        <v>555</v>
      </c>
      <c r="I46" s="11" t="s">
        <v>29</v>
      </c>
      <c r="J46" s="180">
        <f t="shared" si="31"/>
        <v>0.98430497017281993</v>
      </c>
      <c r="K46" s="180">
        <f t="shared" si="31"/>
        <v>1.5695029827179987E-2</v>
      </c>
      <c r="AE46" s="286"/>
      <c r="AF46" s="15">
        <f>AF45-AG45</f>
        <v>-2208.1539737769881</v>
      </c>
      <c r="AG46" s="15">
        <f>AG45-AH45</f>
        <v>377.57949664112311</v>
      </c>
      <c r="AH46" s="15">
        <f t="shared" ref="AH46:AJ46" si="34">AH45-AI45</f>
        <v>115.55606144892954</v>
      </c>
      <c r="AI46" s="15">
        <f t="shared" si="34"/>
        <v>478.93463309831441</v>
      </c>
      <c r="AJ46" s="15">
        <f t="shared" si="34"/>
        <v>6768.0987825886214</v>
      </c>
      <c r="AM46" s="286"/>
      <c r="AN46" s="15">
        <f>AN45-AO45</f>
        <v>433.26892874999976</v>
      </c>
      <c r="AO46" s="15">
        <f t="shared" ref="AO46:AQ46" si="35">AO45-AP45</f>
        <v>132.59949600000073</v>
      </c>
      <c r="AP46" s="15">
        <f t="shared" si="35"/>
        <v>549.57299659999899</v>
      </c>
      <c r="AQ46" s="15">
        <f t="shared" si="35"/>
        <v>7766.3298332999993</v>
      </c>
    </row>
    <row r="47" spans="2:43" ht="30" x14ac:dyDescent="0.25">
      <c r="B47" s="123" t="s">
        <v>557</v>
      </c>
      <c r="C47" s="11" t="s">
        <v>558</v>
      </c>
      <c r="D47" s="15">
        <f t="shared" si="29"/>
        <v>4.4773259999999998E-5</v>
      </c>
      <c r="E47" s="178">
        <f t="shared" si="30"/>
        <v>4.4379969999999997E-5</v>
      </c>
      <c r="F47" s="178">
        <v>3.9329E-7</v>
      </c>
      <c r="H47" s="123" t="s">
        <v>557</v>
      </c>
      <c r="I47" s="11" t="s">
        <v>29</v>
      </c>
      <c r="J47" s="180">
        <f t="shared" si="31"/>
        <v>0.99121596238469123</v>
      </c>
      <c r="K47" s="180">
        <f t="shared" si="31"/>
        <v>8.7840376153087811E-3</v>
      </c>
      <c r="AE47" s="123" t="s">
        <v>597</v>
      </c>
      <c r="AF47" s="174">
        <f>AF46/$AF45</f>
        <v>-0.39915907201570999</v>
      </c>
      <c r="AG47" s="174">
        <f t="shared" ref="AG47:AJ47" si="36">AG46/$AF45</f>
        <v>6.8253520035850057E-2</v>
      </c>
      <c r="AH47" s="174">
        <f t="shared" si="36"/>
        <v>2.088860233548346E-2</v>
      </c>
      <c r="AI47" s="174">
        <f t="shared" si="36"/>
        <v>8.65750785379856E-2</v>
      </c>
      <c r="AJ47" s="174">
        <f t="shared" si="36"/>
        <v>1.2234418711063908</v>
      </c>
      <c r="AM47" s="173" t="s">
        <v>597</v>
      </c>
      <c r="AN47" s="174">
        <f>AN46/$AN45</f>
        <v>4.8781815735590393E-2</v>
      </c>
      <c r="AO47" s="174">
        <f t="shared" ref="AO47:AQ47" si="37">AO46/$AN45</f>
        <v>1.4929397774185981E-2</v>
      </c>
      <c r="AP47" s="174">
        <f t="shared" si="37"/>
        <v>6.1876508732677991E-2</v>
      </c>
      <c r="AQ47" s="174">
        <f t="shared" si="37"/>
        <v>0.8744122777575456</v>
      </c>
    </row>
    <row r="48" spans="2:43" ht="18" x14ac:dyDescent="0.25">
      <c r="B48" s="123" t="s">
        <v>559</v>
      </c>
      <c r="C48" s="11" t="s">
        <v>560</v>
      </c>
      <c r="D48" s="15">
        <f t="shared" si="29"/>
        <v>9.5257280000000014E-2</v>
      </c>
      <c r="E48" s="178">
        <f t="shared" si="30"/>
        <v>9.4918290000000016E-2</v>
      </c>
      <c r="F48" s="178">
        <v>3.3899000000000001E-4</v>
      </c>
      <c r="H48" s="123" t="s">
        <v>559</v>
      </c>
      <c r="I48" s="11" t="s">
        <v>29</v>
      </c>
      <c r="J48" s="180">
        <f t="shared" si="31"/>
        <v>0.99644132186012457</v>
      </c>
      <c r="K48" s="180">
        <f t="shared" si="31"/>
        <v>3.5586781398755031E-3</v>
      </c>
      <c r="AE48" s="286" t="str">
        <f>$B$27</f>
        <v>Ionizing radiation</v>
      </c>
      <c r="AF48" s="15">
        <f>D9</f>
        <v>4.6650000000054402E-5</v>
      </c>
      <c r="AG48" s="15">
        <f>AN48*Calculations!$C$47</f>
        <v>4.3238972553272964E-5</v>
      </c>
      <c r="AH48" s="15">
        <f>AO48*Calculations!$C$47</f>
        <v>3.9018410626755863E-5</v>
      </c>
      <c r="AI48" s="15">
        <f>AP48*Calculations!$C$47</f>
        <v>3.8675671440120874E-5</v>
      </c>
      <c r="AJ48" s="15">
        <f>AQ48*Calculations!$C$47</f>
        <v>3.7349351224231195E-5</v>
      </c>
      <c r="AM48" s="286" t="str">
        <f>$B$28</f>
        <v>Ozone layer depletion</v>
      </c>
      <c r="AN48" s="15">
        <f>D28</f>
        <v>4.96163152000104E-5</v>
      </c>
      <c r="AO48" s="15">
        <f>D47</f>
        <v>4.4773259999999998E-5</v>
      </c>
      <c r="AP48" s="15">
        <f>D66</f>
        <v>4.4379969999999997E-5</v>
      </c>
      <c r="AQ48" s="15">
        <f>D85</f>
        <v>4.2858029999999997E-5</v>
      </c>
    </row>
    <row r="49" spans="2:43" x14ac:dyDescent="0.25">
      <c r="B49" s="123" t="s">
        <v>561</v>
      </c>
      <c r="C49" s="11" t="s">
        <v>562</v>
      </c>
      <c r="D49" s="15">
        <f t="shared" si="29"/>
        <v>20671.136864</v>
      </c>
      <c r="E49" s="178">
        <f t="shared" si="30"/>
        <v>20517.093761</v>
      </c>
      <c r="F49" s="178">
        <v>154.043103</v>
      </c>
      <c r="H49" s="123" t="s">
        <v>561</v>
      </c>
      <c r="I49" s="11" t="s">
        <v>29</v>
      </c>
      <c r="J49" s="180">
        <f t="shared" si="31"/>
        <v>0.99254791335312209</v>
      </c>
      <c r="K49" s="180">
        <f t="shared" si="31"/>
        <v>7.4520866468779047E-3</v>
      </c>
      <c r="AE49" s="286"/>
      <c r="AF49" s="15">
        <f>AF48-AG48</f>
        <v>3.4110274467814386E-6</v>
      </c>
      <c r="AG49" s="15">
        <f>AG48-AH48</f>
        <v>4.2205619265171009E-6</v>
      </c>
      <c r="AH49" s="15">
        <f t="shared" ref="AH49:AJ49" si="38">AH48-AI48</f>
        <v>3.4273918663498817E-7</v>
      </c>
      <c r="AI49" s="15">
        <f t="shared" si="38"/>
        <v>1.3263202158896799E-6</v>
      </c>
      <c r="AJ49" s="15">
        <f t="shared" si="38"/>
        <v>3.7349351224231195E-5</v>
      </c>
      <c r="AM49" s="286"/>
      <c r="AN49" s="15">
        <f>AN48-AO48</f>
        <v>4.8430552000104028E-6</v>
      </c>
      <c r="AO49" s="15">
        <f t="shared" ref="AO49:AQ49" si="39">AO48-AP48</f>
        <v>3.9329000000000111E-7</v>
      </c>
      <c r="AP49" s="15">
        <f t="shared" si="39"/>
        <v>1.5219399999999992E-6</v>
      </c>
      <c r="AQ49" s="15">
        <f t="shared" si="39"/>
        <v>4.2858029999999997E-5</v>
      </c>
    </row>
    <row r="50" spans="2:43" ht="30" x14ac:dyDescent="0.25">
      <c r="B50" s="123" t="s">
        <v>563</v>
      </c>
      <c r="C50" s="11" t="s">
        <v>564</v>
      </c>
      <c r="D50" s="15">
        <f t="shared" si="29"/>
        <v>12764.871373099999</v>
      </c>
      <c r="E50" s="178">
        <f t="shared" si="30"/>
        <v>12728.052467899999</v>
      </c>
      <c r="F50" s="178">
        <v>36.818905200000003</v>
      </c>
      <c r="H50" s="123" t="s">
        <v>563</v>
      </c>
      <c r="I50" s="11" t="s">
        <v>29</v>
      </c>
      <c r="J50" s="180">
        <f t="shared" si="31"/>
        <v>0.99711560703403634</v>
      </c>
      <c r="K50" s="180">
        <f t="shared" si="31"/>
        <v>2.8843929659636194E-3</v>
      </c>
      <c r="AE50" s="123" t="s">
        <v>597</v>
      </c>
      <c r="AF50" s="174">
        <f>AF49/$AF48</f>
        <v>7.3119559416451457E-2</v>
      </c>
      <c r="AG50" s="174">
        <f t="shared" ref="AG50:AJ50" si="40">AG49/$AF48</f>
        <v>9.0472924469714444E-2</v>
      </c>
      <c r="AH50" s="174">
        <f t="shared" si="40"/>
        <v>7.3470350832709214E-3</v>
      </c>
      <c r="AI50" s="174">
        <f t="shared" si="40"/>
        <v>2.8431301519574129E-2</v>
      </c>
      <c r="AJ50" s="174">
        <f t="shared" si="40"/>
        <v>0.800629179510989</v>
      </c>
      <c r="AM50" s="173" t="s">
        <v>597</v>
      </c>
      <c r="AN50" s="174">
        <f>AN49/$AN48</f>
        <v>9.7610134498851045E-2</v>
      </c>
      <c r="AO50" s="174">
        <f t="shared" ref="AO50:AQ50" si="41">AO49/$AN48</f>
        <v>7.9266265222355456E-3</v>
      </c>
      <c r="AP50" s="174">
        <f t="shared" si="41"/>
        <v>3.0674184365865206E-2</v>
      </c>
      <c r="AQ50" s="174">
        <f t="shared" si="41"/>
        <v>0.86378905461304822</v>
      </c>
    </row>
    <row r="51" spans="2:43" ht="18" x14ac:dyDescent="0.25">
      <c r="B51" s="123" t="s">
        <v>565</v>
      </c>
      <c r="C51" s="11" t="s">
        <v>566</v>
      </c>
      <c r="D51" s="15">
        <f t="shared" si="29"/>
        <v>3.3905095400000005</v>
      </c>
      <c r="E51" s="178">
        <f t="shared" si="30"/>
        <v>3.3326220400000004</v>
      </c>
      <c r="F51" s="178">
        <v>5.7887500000000001E-2</v>
      </c>
      <c r="H51" s="123" t="s">
        <v>565</v>
      </c>
      <c r="I51" s="11" t="s">
        <v>29</v>
      </c>
      <c r="J51" s="180">
        <f t="shared" si="31"/>
        <v>0.98292660754465833</v>
      </c>
      <c r="K51" s="180">
        <f t="shared" si="31"/>
        <v>1.7073392455341681E-2</v>
      </c>
      <c r="AE51" s="286" t="str">
        <f>$B$29</f>
        <v>Respiratory organics</v>
      </c>
      <c r="AF51" s="15">
        <f>D10</f>
        <v>0.103630387</v>
      </c>
      <c r="AG51" s="15">
        <f>AN51*Calculations!$C$47</f>
        <v>9.5320277673626497E-2</v>
      </c>
      <c r="AH51" s="15">
        <f>AO51*Calculations!$C$47</f>
        <v>8.3013559124974587E-2</v>
      </c>
      <c r="AI51" s="15">
        <f>AP51*Calculations!$C$47</f>
        <v>8.2718140586803282E-2</v>
      </c>
      <c r="AJ51" s="15">
        <f>AQ51*Calculations!$C$47</f>
        <v>8.2013167500713177E-2</v>
      </c>
      <c r="AM51" s="286" t="str">
        <f>$B$29</f>
        <v>Respiratory organics</v>
      </c>
      <c r="AN51" s="15">
        <f>D29</f>
        <v>0.10937912403400002</v>
      </c>
      <c r="AO51" s="15">
        <f>D48</f>
        <v>9.5257280000000014E-2</v>
      </c>
      <c r="AP51" s="15">
        <f>D67</f>
        <v>9.4918290000000016E-2</v>
      </c>
      <c r="AQ51" s="15">
        <f>D86</f>
        <v>9.4109340000000014E-2</v>
      </c>
    </row>
    <row r="52" spans="2:43" x14ac:dyDescent="0.25">
      <c r="B52" s="123" t="s">
        <v>567</v>
      </c>
      <c r="C52" s="11" t="s">
        <v>568</v>
      </c>
      <c r="D52" s="15">
        <f t="shared" si="29"/>
        <v>7.7601271599999997</v>
      </c>
      <c r="E52" s="178">
        <f t="shared" si="30"/>
        <v>7.7197281799999997</v>
      </c>
      <c r="F52" s="178">
        <v>4.0398980000000001E-2</v>
      </c>
      <c r="H52" s="123" t="s">
        <v>567</v>
      </c>
      <c r="I52" s="11" t="s">
        <v>29</v>
      </c>
      <c r="J52" s="180">
        <f t="shared" si="31"/>
        <v>0.99479403118440657</v>
      </c>
      <c r="K52" s="180">
        <f t="shared" si="31"/>
        <v>5.2059688155934808E-3</v>
      </c>
      <c r="AE52" s="286"/>
      <c r="AF52" s="15">
        <f>AF51-AG51</f>
        <v>8.3101093263735076E-3</v>
      </c>
      <c r="AG52" s="15">
        <f>AG51-AH51</f>
        <v>1.230671854865191E-2</v>
      </c>
      <c r="AH52" s="15">
        <f t="shared" ref="AH52:AJ52" si="42">AH51-AI51</f>
        <v>2.9541853817130481E-4</v>
      </c>
      <c r="AI52" s="15">
        <f t="shared" si="42"/>
        <v>7.0497308609010489E-4</v>
      </c>
      <c r="AJ52" s="15">
        <f t="shared" si="42"/>
        <v>8.2013167500713177E-2</v>
      </c>
      <c r="AM52" s="286"/>
      <c r="AN52" s="15">
        <f>AN51-AO51</f>
        <v>1.4121844034000006E-2</v>
      </c>
      <c r="AO52" s="15">
        <f t="shared" ref="AO52:AQ52" si="43">AO51-AP51</f>
        <v>3.3898999999999735E-4</v>
      </c>
      <c r="AP52" s="15">
        <f t="shared" si="43"/>
        <v>8.0895000000000272E-4</v>
      </c>
      <c r="AQ52" s="15">
        <f t="shared" si="43"/>
        <v>9.4109340000000014E-2</v>
      </c>
    </row>
    <row r="53" spans="2:43" ht="30" x14ac:dyDescent="0.25">
      <c r="B53" s="123" t="s">
        <v>569</v>
      </c>
      <c r="C53" s="11" t="s">
        <v>566</v>
      </c>
      <c r="D53" s="15">
        <f t="shared" si="29"/>
        <v>1.0574358099999999</v>
      </c>
      <c r="E53" s="178">
        <f t="shared" si="30"/>
        <v>1.03758895</v>
      </c>
      <c r="F53" s="178">
        <v>1.9846860000000001E-2</v>
      </c>
      <c r="H53" s="123" t="s">
        <v>569</v>
      </c>
      <c r="I53" s="11" t="s">
        <v>29</v>
      </c>
      <c r="J53" s="180">
        <f t="shared" si="31"/>
        <v>0.98123114442284687</v>
      </c>
      <c r="K53" s="180">
        <f t="shared" si="31"/>
        <v>1.8768855577153191E-2</v>
      </c>
      <c r="AE53" s="123" t="s">
        <v>597</v>
      </c>
      <c r="AF53" s="174">
        <f>AF52/$AF51</f>
        <v>8.0189889924598148E-2</v>
      </c>
      <c r="AG53" s="174">
        <f t="shared" ref="AG53:AJ53" si="44">AG52/$AF51</f>
        <v>0.11875588719602012</v>
      </c>
      <c r="AH53" s="174">
        <f t="shared" si="44"/>
        <v>2.8506941518157683E-3</v>
      </c>
      <c r="AI53" s="174">
        <f t="shared" si="44"/>
        <v>6.8027641939627697E-3</v>
      </c>
      <c r="AJ53" s="174">
        <f t="shared" si="44"/>
        <v>0.7914007645336032</v>
      </c>
      <c r="AM53" s="173" t="s">
        <v>597</v>
      </c>
      <c r="AN53" s="174">
        <f>AN52/$AN51</f>
        <v>0.12910913447807731</v>
      </c>
      <c r="AO53" s="174">
        <f t="shared" ref="AO53:AQ53" si="45">AO52/$AN51</f>
        <v>3.0992202853500983E-3</v>
      </c>
      <c r="AP53" s="174">
        <f t="shared" si="45"/>
        <v>7.395835422384112E-3</v>
      </c>
      <c r="AQ53" s="174">
        <f t="shared" si="45"/>
        <v>0.86039580981418851</v>
      </c>
    </row>
    <row r="54" spans="2:43" ht="18" x14ac:dyDescent="0.25">
      <c r="B54" s="123" t="s">
        <v>570</v>
      </c>
      <c r="C54" s="11" t="s">
        <v>571</v>
      </c>
      <c r="D54" s="15">
        <f t="shared" si="29"/>
        <v>3.5375870000000004E-2</v>
      </c>
      <c r="E54" s="178">
        <f t="shared" si="30"/>
        <v>3.5001480000000001E-2</v>
      </c>
      <c r="F54" s="178">
        <v>3.7439E-4</v>
      </c>
      <c r="H54" s="123" t="s">
        <v>570</v>
      </c>
      <c r="I54" s="11" t="s">
        <v>29</v>
      </c>
      <c r="J54" s="180">
        <f t="shared" si="31"/>
        <v>0.98941679738194421</v>
      </c>
      <c r="K54" s="180">
        <f t="shared" si="31"/>
        <v>1.0583202618055752E-2</v>
      </c>
      <c r="AE54" s="286" t="str">
        <f>$B$30</f>
        <v>Aquatic ecotoxicity</v>
      </c>
      <c r="AF54" s="15">
        <f>D11</f>
        <v>23400.698</v>
      </c>
      <c r="AG54" s="15">
        <f>AN54*Calculations!$C$47</f>
        <v>21746.009577792032</v>
      </c>
      <c r="AH54" s="15">
        <f>AO54*Calculations!$C$47</f>
        <v>18014.20996106655</v>
      </c>
      <c r="AI54" s="15">
        <f>AP54*Calculations!$C$47</f>
        <v>17879.966507561632</v>
      </c>
      <c r="AJ54" s="15">
        <f>AQ54*Calculations!$C$47</f>
        <v>17468.970885547235</v>
      </c>
      <c r="AM54" s="286" t="str">
        <f>$B$30</f>
        <v>Aquatic ecotoxicity</v>
      </c>
      <c r="AN54" s="15">
        <f>D30</f>
        <v>24953.3419006392</v>
      </c>
      <c r="AO54" s="15">
        <f>D49</f>
        <v>20671.136864</v>
      </c>
      <c r="AP54" s="15">
        <f>D68</f>
        <v>20517.093761</v>
      </c>
      <c r="AQ54" s="15">
        <f>D87</f>
        <v>20045.480142</v>
      </c>
    </row>
    <row r="55" spans="2:43" ht="18" x14ac:dyDescent="0.25">
      <c r="B55" s="171" t="s">
        <v>572</v>
      </c>
      <c r="C55" s="161" t="s">
        <v>573</v>
      </c>
      <c r="D55" s="185">
        <f t="shared" si="29"/>
        <v>267.33180666999999</v>
      </c>
      <c r="E55" s="186">
        <f t="shared" si="30"/>
        <v>264.43420534000001</v>
      </c>
      <c r="F55" s="186">
        <v>2.8976013300000001</v>
      </c>
      <c r="H55" s="123" t="s">
        <v>572</v>
      </c>
      <c r="I55" s="11" t="s">
        <v>29</v>
      </c>
      <c r="J55" s="180">
        <f t="shared" si="31"/>
        <v>0.9891610303835755</v>
      </c>
      <c r="K55" s="180">
        <f t="shared" si="31"/>
        <v>1.0838969616424506E-2</v>
      </c>
      <c r="AE55" s="286"/>
      <c r="AF55" s="15">
        <f>AF54-AG54</f>
        <v>1654.688422207968</v>
      </c>
      <c r="AG55" s="15">
        <f>AG54-AH54</f>
        <v>3731.7996167254823</v>
      </c>
      <c r="AH55" s="15">
        <f t="shared" ref="AH55:AJ55" si="46">AH54-AI54</f>
        <v>134.24345350491785</v>
      </c>
      <c r="AI55" s="15">
        <f t="shared" si="46"/>
        <v>410.99562201439767</v>
      </c>
      <c r="AJ55" s="15">
        <f t="shared" si="46"/>
        <v>17468.970885547235</v>
      </c>
      <c r="AM55" s="286"/>
      <c r="AN55" s="15">
        <f>AN54-AO54</f>
        <v>4282.2050366391995</v>
      </c>
      <c r="AO55" s="15">
        <f t="shared" ref="AO55:AQ55" si="47">AO54-AP54</f>
        <v>154.04310299999997</v>
      </c>
      <c r="AP55" s="15">
        <f t="shared" si="47"/>
        <v>471.61361899999974</v>
      </c>
      <c r="AQ55" s="15">
        <f t="shared" si="47"/>
        <v>20045.480142</v>
      </c>
    </row>
    <row r="56" spans="2:43" ht="30" x14ac:dyDescent="0.25">
      <c r="B56" s="123" t="s">
        <v>574</v>
      </c>
      <c r="C56" s="11" t="s">
        <v>575</v>
      </c>
      <c r="D56" s="15">
        <f t="shared" si="29"/>
        <v>4759.1778172000004</v>
      </c>
      <c r="E56" s="178">
        <f t="shared" si="30"/>
        <v>4700.1687651000002</v>
      </c>
      <c r="F56" s="178">
        <v>59.009052099999998</v>
      </c>
      <c r="H56" s="123" t="s">
        <v>574</v>
      </c>
      <c r="I56" s="11" t="s">
        <v>29</v>
      </c>
      <c r="J56" s="180">
        <f t="shared" si="31"/>
        <v>0.98760099866688378</v>
      </c>
      <c r="K56" s="180">
        <f t="shared" si="31"/>
        <v>1.2399001333116231E-2</v>
      </c>
      <c r="AE56" s="123" t="s">
        <v>597</v>
      </c>
      <c r="AF56" s="174">
        <f>AF55/$AF54</f>
        <v>7.0711071191464803E-2</v>
      </c>
      <c r="AG56" s="174">
        <f t="shared" ref="AG56:AJ56" si="48">AG55/$AF54</f>
        <v>0.15947385914409401</v>
      </c>
      <c r="AH56" s="174">
        <f t="shared" si="48"/>
        <v>5.7367286012117184E-3</v>
      </c>
      <c r="AI56" s="174">
        <f t="shared" si="48"/>
        <v>1.7563391571242776E-2</v>
      </c>
      <c r="AJ56" s="174">
        <f t="shared" si="48"/>
        <v>0.74651494949198671</v>
      </c>
      <c r="AM56" s="173" t="s">
        <v>597</v>
      </c>
      <c r="AN56" s="174">
        <f>AN55/$AN54</f>
        <v>0.17160847848317692</v>
      </c>
      <c r="AO56" s="174">
        <f t="shared" ref="AO56:AQ56" si="49">AO55/$AN54</f>
        <v>6.1732453958823867E-3</v>
      </c>
      <c r="AP56" s="174">
        <f t="shared" si="49"/>
        <v>1.8899817943340044E-2</v>
      </c>
      <c r="AQ56" s="174">
        <f t="shared" si="49"/>
        <v>0.80331845817760061</v>
      </c>
    </row>
    <row r="57" spans="2:43" x14ac:dyDescent="0.25">
      <c r="B57" s="123" t="s">
        <v>576</v>
      </c>
      <c r="C57" s="11" t="s">
        <v>577</v>
      </c>
      <c r="D57" s="15">
        <f t="shared" si="29"/>
        <v>5.1579621699999993</v>
      </c>
      <c r="E57" s="178">
        <f t="shared" si="30"/>
        <v>5.1250420899999991</v>
      </c>
      <c r="F57" s="178">
        <v>3.2920079999999997E-2</v>
      </c>
      <c r="H57" s="123" t="s">
        <v>576</v>
      </c>
      <c r="I57" s="11" t="s">
        <v>29</v>
      </c>
      <c r="J57" s="180">
        <f t="shared" si="31"/>
        <v>0.99361761895202105</v>
      </c>
      <c r="K57" s="180">
        <f t="shared" si="31"/>
        <v>6.3823810479788764E-3</v>
      </c>
      <c r="AE57" s="286" t="str">
        <f>$B$31</f>
        <v>Terrestrial ecotoxicity</v>
      </c>
      <c r="AF57" s="15">
        <f>D12</f>
        <v>13490.000147000001</v>
      </c>
      <c r="AG57" s="15">
        <f>AN57*Calculations!$C$47</f>
        <v>12316.775627971421</v>
      </c>
      <c r="AH57" s="15">
        <f>AO57*Calculations!$C$47</f>
        <v>11124.161895589839</v>
      </c>
      <c r="AI57" s="15">
        <f>AP57*Calculations!$C$47</f>
        <v>11092.075441265959</v>
      </c>
      <c r="AJ57" s="15">
        <f>AQ57*Calculations!$C$47</f>
        <v>10995.533921912549</v>
      </c>
      <c r="AM57" s="286" t="str">
        <f>$B$31</f>
        <v>Terrestrial ecotoxicity</v>
      </c>
      <c r="AN57" s="15">
        <f>D31</f>
        <v>14133.384438131798</v>
      </c>
      <c r="AO57" s="15">
        <f>D50</f>
        <v>12764.871373099999</v>
      </c>
      <c r="AP57" s="15">
        <f>D69</f>
        <v>12728.052467899999</v>
      </c>
      <c r="AQ57" s="15">
        <f>D88</f>
        <v>12617.2719805</v>
      </c>
    </row>
    <row r="58" spans="2:43" x14ac:dyDescent="0.25">
      <c r="AE58" s="286"/>
      <c r="AF58" s="15">
        <f>AF57-AG57</f>
        <v>1173.2245190285794</v>
      </c>
      <c r="AG58" s="15">
        <f>AG57-AH57</f>
        <v>1192.6137323815819</v>
      </c>
      <c r="AH58" s="15">
        <f t="shared" ref="AH58:AJ58" si="50">AH57-AI57</f>
        <v>32.086454323880389</v>
      </c>
      <c r="AI58" s="15">
        <f t="shared" si="50"/>
        <v>96.541519353409967</v>
      </c>
      <c r="AJ58" s="15">
        <f t="shared" si="50"/>
        <v>10995.533921912549</v>
      </c>
      <c r="AM58" s="286"/>
      <c r="AN58" s="15">
        <f>AN57-AO57</f>
        <v>1368.5130650317988</v>
      </c>
      <c r="AO58" s="15">
        <f t="shared" ref="AO58:AQ58" si="51">AO57-AP57</f>
        <v>36.81890519999979</v>
      </c>
      <c r="AP58" s="15">
        <f t="shared" si="51"/>
        <v>110.7804873999994</v>
      </c>
      <c r="AQ58" s="15">
        <f t="shared" si="51"/>
        <v>12617.2719805</v>
      </c>
    </row>
    <row r="59" spans="2:43" ht="30" x14ac:dyDescent="0.25">
      <c r="B59" s="282" t="s">
        <v>649</v>
      </c>
      <c r="C59" s="282"/>
      <c r="D59" s="282"/>
      <c r="E59" s="282"/>
      <c r="F59" s="282"/>
      <c r="G59" s="282"/>
      <c r="H59" s="282"/>
      <c r="I59" s="282"/>
      <c r="J59" s="282"/>
      <c r="K59" s="282"/>
      <c r="L59" s="282"/>
      <c r="M59" s="282"/>
      <c r="AE59" s="123" t="s">
        <v>597</v>
      </c>
      <c r="AF59" s="174">
        <f>AF58/$AF57</f>
        <v>8.6969941159673686E-2</v>
      </c>
      <c r="AG59" s="174">
        <f t="shared" ref="AG59:AJ59" si="52">AG58/$AF57</f>
        <v>8.8407243838822619E-2</v>
      </c>
      <c r="AH59" s="174">
        <f t="shared" si="52"/>
        <v>2.3785362471634959E-3</v>
      </c>
      <c r="AI59" s="174">
        <f t="shared" si="52"/>
        <v>7.1565247072943533E-3</v>
      </c>
      <c r="AJ59" s="174">
        <f t="shared" si="52"/>
        <v>0.81508775404704581</v>
      </c>
      <c r="AM59" s="173" t="s">
        <v>597</v>
      </c>
      <c r="AN59" s="174">
        <f>AN58/$AN57</f>
        <v>9.6828404478941199E-2</v>
      </c>
      <c r="AO59" s="174">
        <f t="shared" ref="AO59:AQ59" si="53">AO58/$AN57</f>
        <v>2.6051017971790661E-3</v>
      </c>
      <c r="AP59" s="174">
        <f t="shared" si="53"/>
        <v>7.8382136907784259E-3</v>
      </c>
      <c r="AQ59" s="174">
        <f t="shared" si="53"/>
        <v>0.89272828003310134</v>
      </c>
    </row>
    <row r="60" spans="2:43" x14ac:dyDescent="0.25">
      <c r="AE60" s="286" t="str">
        <f>$B$32</f>
        <v>Terrestrial acid/nutri</v>
      </c>
      <c r="AF60" s="15">
        <f>D13</f>
        <v>4.1400009500000001</v>
      </c>
      <c r="AG60" s="15">
        <f>AN60*Calculations!$C$47</f>
        <v>3.9815842261376422</v>
      </c>
      <c r="AH60" s="15">
        <f>AO60*Calculations!$C$47</f>
        <v>2.9547165756001053</v>
      </c>
      <c r="AI60" s="15">
        <f>AP60*Calculations!$C$47</f>
        <v>2.9042695399105813</v>
      </c>
      <c r="AJ60" s="15">
        <f>AQ60*Calculations!$C$47</f>
        <v>2.7654844048157456</v>
      </c>
      <c r="AM60" s="286" t="str">
        <f>$B$32</f>
        <v>Terrestrial acid/nutri</v>
      </c>
      <c r="AN60" s="15">
        <f>D32</f>
        <v>4.5688305316700015</v>
      </c>
      <c r="AO60" s="15">
        <f>D51</f>
        <v>3.3905095400000005</v>
      </c>
      <c r="AP60" s="15">
        <f>D70</f>
        <v>3.3326220400000004</v>
      </c>
      <c r="AQ60" s="15">
        <f>D89</f>
        <v>3.1733674000000001</v>
      </c>
    </row>
    <row r="61" spans="2:43" ht="30.95" customHeight="1" x14ac:dyDescent="0.25">
      <c r="B61" s="162" t="s">
        <v>547</v>
      </c>
      <c r="C61" s="162" t="s">
        <v>337</v>
      </c>
      <c r="D61" s="162" t="s">
        <v>595</v>
      </c>
      <c r="E61" s="162" t="s">
        <v>584</v>
      </c>
      <c r="F61" s="162" t="s">
        <v>581</v>
      </c>
      <c r="G61" s="162" t="s">
        <v>335</v>
      </c>
      <c r="I61" s="122" t="s">
        <v>547</v>
      </c>
      <c r="J61" s="122" t="s">
        <v>337</v>
      </c>
      <c r="K61" s="162" t="s">
        <v>584</v>
      </c>
      <c r="L61" s="162" t="s">
        <v>581</v>
      </c>
      <c r="M61" s="162" t="s">
        <v>335</v>
      </c>
      <c r="AE61" s="286"/>
      <c r="AF61" s="15">
        <f>AF60-AG60</f>
        <v>0.15841672386235794</v>
      </c>
      <c r="AG61" s="15">
        <f>AG60-AH60</f>
        <v>1.0268676505375369</v>
      </c>
      <c r="AH61" s="15">
        <f t="shared" ref="AH61:AJ61" si="54">AH60-AI60</f>
        <v>5.0447035689523911E-2</v>
      </c>
      <c r="AI61" s="15">
        <f t="shared" si="54"/>
        <v>0.1387851350948357</v>
      </c>
      <c r="AJ61" s="15">
        <f t="shared" si="54"/>
        <v>2.7654844048157456</v>
      </c>
      <c r="AM61" s="286"/>
      <c r="AN61" s="15">
        <f>AN60-AO60</f>
        <v>1.178320991670001</v>
      </c>
      <c r="AO61" s="15">
        <f t="shared" ref="AO61:AQ61" si="55">AO60-AP60</f>
        <v>5.7887500000000092E-2</v>
      </c>
      <c r="AP61" s="15">
        <f t="shared" si="55"/>
        <v>0.15925464000000034</v>
      </c>
      <c r="AQ61" s="15">
        <f t="shared" si="55"/>
        <v>3.1733674000000001</v>
      </c>
    </row>
    <row r="62" spans="2:43" ht="30" x14ac:dyDescent="0.25">
      <c r="B62" s="123" t="s">
        <v>550</v>
      </c>
      <c r="C62" s="11" t="s">
        <v>551</v>
      </c>
      <c r="D62" s="15">
        <f>SUM(E62:G62)</f>
        <v>3.4789778000000005</v>
      </c>
      <c r="E62" s="178">
        <f>D81</f>
        <v>3.4192066700000003</v>
      </c>
      <c r="F62" s="178">
        <v>0.20771533</v>
      </c>
      <c r="G62" s="178">
        <v>-0.1479442</v>
      </c>
      <c r="H62" s="179">
        <f>SUM(E62:F62)</f>
        <v>3.6269220000000004</v>
      </c>
      <c r="I62" s="123" t="s">
        <v>550</v>
      </c>
      <c r="J62" s="11" t="s">
        <v>29</v>
      </c>
      <c r="K62" s="180">
        <f>E62/$H62</f>
        <v>0.94272958447962207</v>
      </c>
      <c r="L62" s="180">
        <f t="shared" ref="L62:M76" si="56">F62/$H62</f>
        <v>5.7270415520377878E-2</v>
      </c>
      <c r="M62" s="180">
        <f t="shared" si="56"/>
        <v>-4.0790565664218854E-2</v>
      </c>
      <c r="AE62" s="123" t="s">
        <v>597</v>
      </c>
      <c r="AF62" s="174">
        <f>AF61/$AF60</f>
        <v>3.8264900364904007E-2</v>
      </c>
      <c r="AG62" s="174">
        <f t="shared" ref="AG62:AJ62" si="57">AG61/$AF60</f>
        <v>0.24803560746466422</v>
      </c>
      <c r="AH62" s="174">
        <f t="shared" si="57"/>
        <v>1.2185271525003856E-2</v>
      </c>
      <c r="AI62" s="174">
        <f t="shared" si="57"/>
        <v>3.3522971799036835E-2</v>
      </c>
      <c r="AJ62" s="174">
        <f t="shared" si="57"/>
        <v>0.66799124884639105</v>
      </c>
      <c r="AM62" s="173" t="s">
        <v>597</v>
      </c>
      <c r="AN62" s="174">
        <f>AN61/$AN60</f>
        <v>0.25790428940232557</v>
      </c>
      <c r="AO62" s="174">
        <f t="shared" ref="AO62:AQ62" si="58">AO61/$AN60</f>
        <v>1.2670091306459777E-2</v>
      </c>
      <c r="AP62" s="174">
        <f t="shared" si="58"/>
        <v>3.4856762336901451E-2</v>
      </c>
      <c r="AQ62" s="174">
        <f t="shared" si="58"/>
        <v>0.69456885695431325</v>
      </c>
    </row>
    <row r="63" spans="2:43" ht="18" x14ac:dyDescent="0.25">
      <c r="B63" s="123" t="s">
        <v>552</v>
      </c>
      <c r="C63" s="11" t="s">
        <v>551</v>
      </c>
      <c r="D63" s="15">
        <f t="shared" ref="D63:D76" si="59">SUM(E63:G63)</f>
        <v>4.2670306200000008</v>
      </c>
      <c r="E63" s="178">
        <f t="shared" ref="E63:E76" si="60">D82</f>
        <v>4.2480427199999999</v>
      </c>
      <c r="F63" s="178">
        <v>7.8388570000000005E-2</v>
      </c>
      <c r="G63" s="178">
        <v>-5.9400670000000003E-2</v>
      </c>
      <c r="H63" s="179">
        <f t="shared" ref="H63:H76" si="61">SUM(E63:F63)</f>
        <v>4.3264312900000004</v>
      </c>
      <c r="I63" s="123" t="s">
        <v>552</v>
      </c>
      <c r="J63" s="11" t="s">
        <v>29</v>
      </c>
      <c r="K63" s="180">
        <f t="shared" ref="K63:K76" si="62">E63/$H63</f>
        <v>0.98188147118360902</v>
      </c>
      <c r="L63" s="180">
        <f t="shared" si="56"/>
        <v>1.8118528816390842E-2</v>
      </c>
      <c r="M63" s="180">
        <f t="shared" si="56"/>
        <v>-1.3729715328496525E-2</v>
      </c>
      <c r="AE63" s="286" t="str">
        <f>$B$33</f>
        <v>Land occupation</v>
      </c>
      <c r="AF63" s="15">
        <f>D14</f>
        <v>13.462000000000002</v>
      </c>
      <c r="AG63" s="15">
        <f>AN63*Calculations!$C$47</f>
        <v>12.769713111859003</v>
      </c>
      <c r="AH63" s="15">
        <f>AO63*Calculations!$C$47</f>
        <v>6.7626933585966444</v>
      </c>
      <c r="AI63" s="15">
        <f>AP63*Calculations!$C$47</f>
        <v>6.7274869878623695</v>
      </c>
      <c r="AJ63" s="15">
        <f>AQ63*Calculations!$C$47</f>
        <v>6.6332126394699786</v>
      </c>
      <c r="AM63" s="286" t="str">
        <f>$B$33</f>
        <v>Land occupation</v>
      </c>
      <c r="AN63" s="15">
        <f>D33</f>
        <v>14.653125950000002</v>
      </c>
      <c r="AO63" s="15">
        <f>D52</f>
        <v>7.7601271599999997</v>
      </c>
      <c r="AP63" s="15">
        <f>D71</f>
        <v>7.7197281799999997</v>
      </c>
      <c r="AQ63" s="15">
        <f>D90</f>
        <v>7.6115492499999995</v>
      </c>
    </row>
    <row r="64" spans="2:43" x14ac:dyDescent="0.25">
      <c r="B64" s="123" t="s">
        <v>553</v>
      </c>
      <c r="C64" s="11" t="s">
        <v>554</v>
      </c>
      <c r="D64" s="15">
        <f t="shared" si="59"/>
        <v>0.21691906000000002</v>
      </c>
      <c r="E64" s="178">
        <f t="shared" si="60"/>
        <v>0.21729338000000001</v>
      </c>
      <c r="F64" s="178">
        <v>1.752927E-2</v>
      </c>
      <c r="G64" s="178">
        <v>-1.790359E-2</v>
      </c>
      <c r="H64" s="179">
        <f t="shared" si="61"/>
        <v>0.23482265000000002</v>
      </c>
      <c r="I64" s="123" t="s">
        <v>553</v>
      </c>
      <c r="J64" s="11" t="s">
        <v>29</v>
      </c>
      <c r="K64" s="180">
        <f t="shared" si="62"/>
        <v>0.92535102555055904</v>
      </c>
      <c r="L64" s="180">
        <f t="shared" si="56"/>
        <v>7.464897444944088E-2</v>
      </c>
      <c r="M64" s="180">
        <f t="shared" si="56"/>
        <v>-7.6243028515349767E-2</v>
      </c>
      <c r="AE64" s="286"/>
      <c r="AF64" s="15">
        <f>AF63-AG63</f>
        <v>0.69228688814099826</v>
      </c>
      <c r="AG64" s="15">
        <f>AG63-AH63</f>
        <v>6.0070197532623588</v>
      </c>
      <c r="AH64" s="15">
        <f t="shared" ref="AH64:AJ64" si="63">AH63-AI63</f>
        <v>3.5206370734274905E-2</v>
      </c>
      <c r="AI64" s="15">
        <f t="shared" si="63"/>
        <v>9.4274348392390905E-2</v>
      </c>
      <c r="AJ64" s="15">
        <f t="shared" si="63"/>
        <v>6.6332126394699786</v>
      </c>
      <c r="AM64" s="286"/>
      <c r="AN64" s="15">
        <f>AN63-AO63</f>
        <v>6.8929987900000018</v>
      </c>
      <c r="AO64" s="15">
        <f t="shared" ref="AO64:AQ64" si="64">AO63-AP63</f>
        <v>4.0398979999999973E-2</v>
      </c>
      <c r="AP64" s="15">
        <f t="shared" si="64"/>
        <v>0.10817893000000023</v>
      </c>
      <c r="AQ64" s="15">
        <f t="shared" si="64"/>
        <v>7.6115492499999995</v>
      </c>
    </row>
    <row r="65" spans="2:43" ht="30" x14ac:dyDescent="0.25">
      <c r="B65" s="123" t="s">
        <v>555</v>
      </c>
      <c r="C65" s="11" t="s">
        <v>556</v>
      </c>
      <c r="D65" s="15">
        <f t="shared" si="59"/>
        <v>8315.9028298999983</v>
      </c>
      <c r="E65" s="178">
        <f t="shared" si="60"/>
        <v>7766.3298332999993</v>
      </c>
      <c r="F65" s="178">
        <v>626.00058100000001</v>
      </c>
      <c r="G65" s="178">
        <v>-76.427584400000001</v>
      </c>
      <c r="H65" s="179">
        <f t="shared" si="61"/>
        <v>8392.3304142999987</v>
      </c>
      <c r="I65" s="123" t="s">
        <v>555</v>
      </c>
      <c r="J65" s="11" t="s">
        <v>29</v>
      </c>
      <c r="K65" s="180">
        <f t="shared" si="62"/>
        <v>0.92540801540257112</v>
      </c>
      <c r="L65" s="180">
        <f t="shared" si="56"/>
        <v>7.4591984597428954E-2</v>
      </c>
      <c r="M65" s="180">
        <f t="shared" si="56"/>
        <v>-9.1068369126377866E-3</v>
      </c>
      <c r="AE65" s="123" t="s">
        <v>597</v>
      </c>
      <c r="AF65" s="174">
        <f>AF64/$AF63</f>
        <v>5.1425262824320174E-2</v>
      </c>
      <c r="AG65" s="174">
        <f t="shared" ref="AG65:AJ65" si="65">AG64/$AF63</f>
        <v>0.44622045411249134</v>
      </c>
      <c r="AH65" s="174">
        <f t="shared" si="65"/>
        <v>2.6152407320067525E-3</v>
      </c>
      <c r="AI65" s="174">
        <f t="shared" si="65"/>
        <v>7.0029972063876764E-3</v>
      </c>
      <c r="AJ65" s="174">
        <f t="shared" si="65"/>
        <v>0.49273604512479408</v>
      </c>
      <c r="AM65" s="173" t="s">
        <v>597</v>
      </c>
      <c r="AN65" s="174">
        <f>AN64/$AN63</f>
        <v>0.47041148854657877</v>
      </c>
      <c r="AO65" s="174">
        <f t="shared" ref="AO65:AQ65" si="66">AO64/$AN63</f>
        <v>2.7570212757230799E-3</v>
      </c>
      <c r="AP65" s="174">
        <f t="shared" si="66"/>
        <v>7.3826520272283758E-3</v>
      </c>
      <c r="AQ65" s="174">
        <f t="shared" si="66"/>
        <v>0.51944883815046983</v>
      </c>
    </row>
    <row r="66" spans="2:43" x14ac:dyDescent="0.25">
      <c r="B66" s="123" t="s">
        <v>557</v>
      </c>
      <c r="C66" s="11" t="s">
        <v>558</v>
      </c>
      <c r="D66" s="15">
        <f t="shared" si="59"/>
        <v>4.4379969999999997E-5</v>
      </c>
      <c r="E66" s="178">
        <f t="shared" si="60"/>
        <v>4.2858029999999997E-5</v>
      </c>
      <c r="F66" s="178">
        <v>1.8566999999999999E-6</v>
      </c>
      <c r="G66" s="178">
        <v>-3.3476000000000001E-7</v>
      </c>
      <c r="H66" s="179">
        <f t="shared" si="61"/>
        <v>4.4714729999999996E-5</v>
      </c>
      <c r="I66" s="123" t="s">
        <v>557</v>
      </c>
      <c r="J66" s="11" t="s">
        <v>29</v>
      </c>
      <c r="K66" s="180">
        <f t="shared" si="62"/>
        <v>0.95847677040653045</v>
      </c>
      <c r="L66" s="180">
        <f t="shared" si="56"/>
        <v>4.1523229593469539E-2</v>
      </c>
      <c r="M66" s="180">
        <f t="shared" si="56"/>
        <v>-7.4865709800774833E-3</v>
      </c>
      <c r="AE66" s="286" t="str">
        <f>$B$34</f>
        <v>Aquatic acidification</v>
      </c>
      <c r="AF66" s="15">
        <f>D15</f>
        <v>1.3446033900000001</v>
      </c>
      <c r="AG66" s="15">
        <f>AN66*Calculations!$C$47</f>
        <v>1.3039539747821844</v>
      </c>
      <c r="AH66" s="15">
        <f>AO66*Calculations!$C$47</f>
        <v>0.92152022537595413</v>
      </c>
      <c r="AI66" s="15">
        <f>AP66*Calculations!$C$47</f>
        <v>0.90422434535444729</v>
      </c>
      <c r="AJ66" s="15">
        <f>AQ66*Calculations!$C$47</f>
        <v>0.85595855626305695</v>
      </c>
      <c r="AM66" s="286" t="str">
        <f>$B$34</f>
        <v>Aquatic acidification</v>
      </c>
      <c r="AN66" s="15">
        <f>D34</f>
        <v>1.4962749482399997</v>
      </c>
      <c r="AO66" s="15">
        <f>D53</f>
        <v>1.0574358099999999</v>
      </c>
      <c r="AP66" s="15">
        <f>D72</f>
        <v>1.03758895</v>
      </c>
      <c r="AQ66" s="15">
        <f>D91</f>
        <v>0.98220441000000003</v>
      </c>
    </row>
    <row r="67" spans="2:43" ht="18" x14ac:dyDescent="0.25">
      <c r="B67" s="123" t="s">
        <v>559</v>
      </c>
      <c r="C67" s="11" t="s">
        <v>560</v>
      </c>
      <c r="D67" s="15">
        <f t="shared" si="59"/>
        <v>9.4918290000000016E-2</v>
      </c>
      <c r="E67" s="178">
        <f t="shared" si="60"/>
        <v>9.4109340000000014E-2</v>
      </c>
      <c r="F67" s="178">
        <v>1.60038E-3</v>
      </c>
      <c r="G67" s="178">
        <v>-7.9142999999999998E-4</v>
      </c>
      <c r="H67" s="179">
        <f t="shared" si="61"/>
        <v>9.5709720000000012E-2</v>
      </c>
      <c r="I67" s="123" t="s">
        <v>559</v>
      </c>
      <c r="J67" s="11" t="s">
        <v>29</v>
      </c>
      <c r="K67" s="180">
        <f t="shared" si="62"/>
        <v>0.98327881431478437</v>
      </c>
      <c r="L67" s="180">
        <f t="shared" si="56"/>
        <v>1.6721185685215668E-2</v>
      </c>
      <c r="M67" s="180">
        <f t="shared" si="56"/>
        <v>-8.2690660885853581E-3</v>
      </c>
      <c r="AE67" s="286"/>
      <c r="AF67" s="15">
        <f>AF66-AG66</f>
        <v>4.0649415217815621E-2</v>
      </c>
      <c r="AG67" s="15">
        <f>AG66-AH66</f>
        <v>0.38243374940623032</v>
      </c>
      <c r="AH67" s="15">
        <f t="shared" ref="AH67:AJ67" si="67">AH66-AI66</f>
        <v>1.7295880021506838E-2</v>
      </c>
      <c r="AI67" s="15">
        <f t="shared" si="67"/>
        <v>4.8265789091390343E-2</v>
      </c>
      <c r="AJ67" s="15">
        <f t="shared" si="67"/>
        <v>0.85595855626305695</v>
      </c>
      <c r="AM67" s="286"/>
      <c r="AN67" s="15">
        <f>AN66-AO66</f>
        <v>0.43883913823999987</v>
      </c>
      <c r="AO67" s="15">
        <f t="shared" ref="AO67:AQ67" si="68">AO66-AP66</f>
        <v>1.9846859999999911E-2</v>
      </c>
      <c r="AP67" s="15">
        <f t="shared" si="68"/>
        <v>5.5384539999999927E-2</v>
      </c>
      <c r="AQ67" s="15">
        <f t="shared" si="68"/>
        <v>0.98220441000000003</v>
      </c>
    </row>
    <row r="68" spans="2:43" ht="30" x14ac:dyDescent="0.25">
      <c r="B68" s="123" t="s">
        <v>561</v>
      </c>
      <c r="C68" s="11" t="s">
        <v>562</v>
      </c>
      <c r="D68" s="15">
        <f t="shared" si="59"/>
        <v>20517.093761</v>
      </c>
      <c r="E68" s="178">
        <f t="shared" si="60"/>
        <v>20045.480142</v>
      </c>
      <c r="F68" s="178">
        <v>727.23558800000001</v>
      </c>
      <c r="G68" s="178">
        <v>-255.62196900000001</v>
      </c>
      <c r="H68" s="179">
        <f t="shared" si="61"/>
        <v>20772.71573</v>
      </c>
      <c r="I68" s="123" t="s">
        <v>561</v>
      </c>
      <c r="J68" s="11" t="s">
        <v>29</v>
      </c>
      <c r="K68" s="180">
        <f t="shared" si="62"/>
        <v>0.96499082751372156</v>
      </c>
      <c r="L68" s="180">
        <f t="shared" si="56"/>
        <v>3.5009172486278474E-2</v>
      </c>
      <c r="M68" s="180">
        <f t="shared" si="56"/>
        <v>-1.2305659612470902E-2</v>
      </c>
      <c r="AE68" s="123" t="s">
        <v>597</v>
      </c>
      <c r="AF68" s="174">
        <f>AF67/$AF66</f>
        <v>3.0231528136944248E-2</v>
      </c>
      <c r="AG68" s="174">
        <f t="shared" ref="AG68:AJ68" si="69">AG67/$AF66</f>
        <v>0.284421229524217</v>
      </c>
      <c r="AH68" s="174">
        <f t="shared" si="69"/>
        <v>1.2863183411657795E-2</v>
      </c>
      <c r="AI68" s="174">
        <f t="shared" si="69"/>
        <v>3.5895929945104738E-2</v>
      </c>
      <c r="AJ68" s="174">
        <f t="shared" si="69"/>
        <v>0.63658812898207617</v>
      </c>
      <c r="AM68" s="173" t="s">
        <v>597</v>
      </c>
      <c r="AN68" s="174">
        <f>AN67/$AN66</f>
        <v>0.29328776690152197</v>
      </c>
      <c r="AO68" s="174">
        <f t="shared" ref="AO68:AQ68" si="70">AO67/$AN66</f>
        <v>1.3264179837632697E-2</v>
      </c>
      <c r="AP68" s="174">
        <f t="shared" si="70"/>
        <v>3.7014948399120257E-2</v>
      </c>
      <c r="AQ68" s="174">
        <f t="shared" si="70"/>
        <v>0.65643310486172513</v>
      </c>
    </row>
    <row r="69" spans="2:43" x14ac:dyDescent="0.25">
      <c r="B69" s="123" t="s">
        <v>563</v>
      </c>
      <c r="C69" s="11" t="s">
        <v>564</v>
      </c>
      <c r="D69" s="15">
        <f t="shared" si="59"/>
        <v>12728.052467899999</v>
      </c>
      <c r="E69" s="178">
        <f t="shared" si="60"/>
        <v>12617.2719805</v>
      </c>
      <c r="F69" s="178">
        <v>173.821597</v>
      </c>
      <c r="G69" s="178">
        <v>-63.041109599999999</v>
      </c>
      <c r="H69" s="179">
        <f t="shared" si="61"/>
        <v>12791.0935775</v>
      </c>
      <c r="I69" s="123" t="s">
        <v>563</v>
      </c>
      <c r="J69" s="11" t="s">
        <v>29</v>
      </c>
      <c r="K69" s="180">
        <f t="shared" si="62"/>
        <v>0.98641073212803643</v>
      </c>
      <c r="L69" s="180">
        <f t="shared" si="56"/>
        <v>1.3589267871963545E-2</v>
      </c>
      <c r="M69" s="180">
        <f t="shared" si="56"/>
        <v>-4.928516019216028E-3</v>
      </c>
      <c r="AE69" s="286" t="str">
        <f>$B$35</f>
        <v>Aquatic eutrophication</v>
      </c>
      <c r="AF69" s="15">
        <f>D16</f>
        <v>0.10822</v>
      </c>
      <c r="AG69" s="15">
        <f>AN69*Calculations!$C$47</f>
        <v>0.10635763911454393</v>
      </c>
      <c r="AH69" s="15">
        <f>AO69*Calculations!$C$47</f>
        <v>3.0828897023328972E-2</v>
      </c>
      <c r="AI69" s="15">
        <f>AP69*Calculations!$C$47</f>
        <v>3.0502628559639904E-2</v>
      </c>
      <c r="AJ69" s="15">
        <f>AQ69*Calculations!$C$47</f>
        <v>3.0154189979985539E-2</v>
      </c>
      <c r="AM69" s="286" t="str">
        <f>$B$35</f>
        <v>Aquatic eutrophication</v>
      </c>
      <c r="AN69" s="15">
        <f>D35</f>
        <v>0.12204439269999999</v>
      </c>
      <c r="AO69" s="15">
        <f>D54</f>
        <v>3.5375870000000004E-2</v>
      </c>
      <c r="AP69" s="15">
        <f>D73</f>
        <v>3.5001480000000001E-2</v>
      </c>
      <c r="AQ69" s="15">
        <f>D92</f>
        <v>3.4601650000000005E-2</v>
      </c>
    </row>
    <row r="70" spans="2:43" ht="18" x14ac:dyDescent="0.25">
      <c r="B70" s="123" t="s">
        <v>565</v>
      </c>
      <c r="C70" s="11" t="s">
        <v>566</v>
      </c>
      <c r="D70" s="15">
        <f t="shared" si="59"/>
        <v>3.3326220400000004</v>
      </c>
      <c r="E70" s="178">
        <f t="shared" si="60"/>
        <v>3.1733674000000001</v>
      </c>
      <c r="F70" s="178">
        <v>0.27328615000000001</v>
      </c>
      <c r="G70" s="178">
        <v>-0.11403151</v>
      </c>
      <c r="H70" s="179">
        <f t="shared" si="61"/>
        <v>3.4466535500000002</v>
      </c>
      <c r="I70" s="123" t="s">
        <v>565</v>
      </c>
      <c r="J70" s="11" t="s">
        <v>29</v>
      </c>
      <c r="K70" s="180">
        <f t="shared" si="62"/>
        <v>0.92070971275891655</v>
      </c>
      <c r="L70" s="180">
        <f t="shared" si="56"/>
        <v>7.929028724108346E-2</v>
      </c>
      <c r="M70" s="180">
        <f t="shared" si="56"/>
        <v>-3.3084703276893029E-2</v>
      </c>
      <c r="AE70" s="286"/>
      <c r="AF70" s="15">
        <f>AF69-AG69</f>
        <v>1.862360885456063E-3</v>
      </c>
      <c r="AG70" s="15">
        <f>AG69-AH69</f>
        <v>7.5528742091214962E-2</v>
      </c>
      <c r="AH70" s="15">
        <f t="shared" ref="AH70:AJ70" si="71">AH69-AI69</f>
        <v>3.262684636890674E-4</v>
      </c>
      <c r="AI70" s="15">
        <f t="shared" si="71"/>
        <v>3.484385796543657E-4</v>
      </c>
      <c r="AJ70" s="15">
        <f t="shared" si="71"/>
        <v>3.0154189979985539E-2</v>
      </c>
      <c r="AM70" s="286"/>
      <c r="AN70" s="15">
        <f>AN69-AO69</f>
        <v>8.6668522699999986E-2</v>
      </c>
      <c r="AO70" s="15">
        <f t="shared" ref="AO70:AQ70" si="72">AO69-AP69</f>
        <v>3.7439000000000222E-4</v>
      </c>
      <c r="AP70" s="15">
        <f t="shared" si="72"/>
        <v>3.9982999999999685E-4</v>
      </c>
      <c r="AQ70" s="15">
        <f t="shared" si="72"/>
        <v>3.4601650000000005E-2</v>
      </c>
    </row>
    <row r="71" spans="2:43" ht="30" x14ac:dyDescent="0.25">
      <c r="B71" s="123" t="s">
        <v>567</v>
      </c>
      <c r="C71" s="11" t="s">
        <v>568</v>
      </c>
      <c r="D71" s="15">
        <f t="shared" si="59"/>
        <v>7.7197281799999997</v>
      </c>
      <c r="E71" s="178">
        <f t="shared" si="60"/>
        <v>7.6115492499999995</v>
      </c>
      <c r="F71" s="178">
        <v>0.19072311</v>
      </c>
      <c r="G71" s="178">
        <v>-8.2544179999999995E-2</v>
      </c>
      <c r="H71" s="179">
        <f t="shared" si="61"/>
        <v>7.8022723599999999</v>
      </c>
      <c r="I71" s="123" t="s">
        <v>567</v>
      </c>
      <c r="J71" s="11" t="s">
        <v>29</v>
      </c>
      <c r="K71" s="180">
        <f t="shared" si="62"/>
        <v>0.97555544062037836</v>
      </c>
      <c r="L71" s="180">
        <f t="shared" si="56"/>
        <v>2.4444559379621554E-2</v>
      </c>
      <c r="M71" s="180">
        <f t="shared" si="56"/>
        <v>-1.0579505071263623E-2</v>
      </c>
      <c r="AE71" s="123" t="s">
        <v>597</v>
      </c>
      <c r="AF71" s="174">
        <f>AF70/$AF69</f>
        <v>1.7209026847681233E-2</v>
      </c>
      <c r="AG71" s="174">
        <f t="shared" ref="AG71:AJ71" si="73">AG70/$AF69</f>
        <v>0.6979185186769078</v>
      </c>
      <c r="AH71" s="174">
        <f t="shared" si="73"/>
        <v>3.0148629060161468E-3</v>
      </c>
      <c r="AI71" s="174">
        <f t="shared" si="73"/>
        <v>3.2197244470002374E-3</v>
      </c>
      <c r="AJ71" s="174">
        <f t="shared" si="73"/>
        <v>0.27863786712239458</v>
      </c>
      <c r="AM71" s="173" t="s">
        <v>597</v>
      </c>
      <c r="AN71" s="174">
        <f>AN70/$AN69</f>
        <v>0.71013932539319358</v>
      </c>
      <c r="AO71" s="174">
        <f t="shared" ref="AO71:AQ71" si="74">AO70/$AN69</f>
        <v>3.067654250370179E-3</v>
      </c>
      <c r="AP71" s="174">
        <f t="shared" si="74"/>
        <v>3.2761029913338812E-3</v>
      </c>
      <c r="AQ71" s="174">
        <f t="shared" si="74"/>
        <v>0.28351691736510243</v>
      </c>
    </row>
    <row r="72" spans="2:43" ht="18" x14ac:dyDescent="0.25">
      <c r="B72" s="123" t="s">
        <v>569</v>
      </c>
      <c r="C72" s="11" t="s">
        <v>566</v>
      </c>
      <c r="D72" s="15">
        <f t="shared" si="59"/>
        <v>1.03758895</v>
      </c>
      <c r="E72" s="178">
        <f t="shared" si="60"/>
        <v>0.98220441000000003</v>
      </c>
      <c r="F72" s="178">
        <v>9.3696779999999993E-2</v>
      </c>
      <c r="G72" s="178">
        <v>-3.8312239999999997E-2</v>
      </c>
      <c r="H72" s="179">
        <f t="shared" si="61"/>
        <v>1.07590119</v>
      </c>
      <c r="I72" s="123" t="s">
        <v>569</v>
      </c>
      <c r="J72" s="11" t="s">
        <v>29</v>
      </c>
      <c r="K72" s="180">
        <f t="shared" si="62"/>
        <v>0.91291321092413702</v>
      </c>
      <c r="L72" s="180">
        <f t="shared" si="56"/>
        <v>8.7086789075862994E-2</v>
      </c>
      <c r="M72" s="180">
        <f t="shared" si="56"/>
        <v>-3.560944104913575E-2</v>
      </c>
      <c r="AE72" s="286" t="str">
        <f>$B$36</f>
        <v>Global warming</v>
      </c>
      <c r="AF72" s="15">
        <f>D17</f>
        <v>302.10000002370003</v>
      </c>
      <c r="AG72" s="15">
        <f>AN72*Calculations!$C$47</f>
        <v>283.87598398026137</v>
      </c>
      <c r="AH72" s="15">
        <f>AO72*Calculations!$C$47</f>
        <v>232.97080012137985</v>
      </c>
      <c r="AI72" s="15">
        <f>AP72*Calculations!$C$47</f>
        <v>230.44563669735012</v>
      </c>
      <c r="AJ72" s="15">
        <f>AQ72*Calculations!$C$47</f>
        <v>224.67764453738911</v>
      </c>
      <c r="AM72" s="286" t="str">
        <f>$B$36</f>
        <v>Global warming</v>
      </c>
      <c r="AN72" s="15">
        <f>D36</f>
        <v>325.74502739454198</v>
      </c>
      <c r="AO72" s="15">
        <f>D55</f>
        <v>267.33180666999999</v>
      </c>
      <c r="AP72" s="15">
        <f>D74</f>
        <v>264.43420534000001</v>
      </c>
      <c r="AQ72" s="15">
        <f>D93</f>
        <v>257.81548846999999</v>
      </c>
    </row>
    <row r="73" spans="2:43" ht="18" x14ac:dyDescent="0.25">
      <c r="B73" s="123" t="s">
        <v>570</v>
      </c>
      <c r="C73" s="11" t="s">
        <v>571</v>
      </c>
      <c r="D73" s="15">
        <f t="shared" si="59"/>
        <v>3.5001480000000001E-2</v>
      </c>
      <c r="E73" s="178">
        <f t="shared" si="60"/>
        <v>3.4601650000000005E-2</v>
      </c>
      <c r="F73" s="178">
        <v>1.7674699999999999E-3</v>
      </c>
      <c r="G73" s="178">
        <v>-1.36764E-3</v>
      </c>
      <c r="H73" s="179">
        <f t="shared" si="61"/>
        <v>3.6369120000000005E-2</v>
      </c>
      <c r="I73" s="123" t="s">
        <v>570</v>
      </c>
      <c r="J73" s="11" t="s">
        <v>29</v>
      </c>
      <c r="K73" s="180">
        <f t="shared" si="62"/>
        <v>0.95140190359293819</v>
      </c>
      <c r="L73" s="180">
        <f t="shared" si="56"/>
        <v>4.8598096407061808E-2</v>
      </c>
      <c r="M73" s="180">
        <f t="shared" si="56"/>
        <v>-3.7604429252068784E-2</v>
      </c>
      <c r="AE73" s="286"/>
      <c r="AF73" s="15">
        <f>AF72-AG72</f>
        <v>18.224016043438667</v>
      </c>
      <c r="AG73" s="15">
        <f>AG72-AH72</f>
        <v>50.905183858881514</v>
      </c>
      <c r="AH73" s="15">
        <f t="shared" ref="AH73:AJ73" si="75">AH72-AI72</f>
        <v>2.5251634240297278</v>
      </c>
      <c r="AI73" s="15">
        <f t="shared" si="75"/>
        <v>5.7679921599610111</v>
      </c>
      <c r="AJ73" s="15">
        <f t="shared" si="75"/>
        <v>224.67764453738911</v>
      </c>
      <c r="AM73" s="286"/>
      <c r="AN73" s="15">
        <f>AN72-AO72</f>
        <v>58.413220724541986</v>
      </c>
      <c r="AO73" s="15">
        <f t="shared" ref="AO73:AQ73" si="76">AO72-AP72</f>
        <v>2.8976013299999863</v>
      </c>
      <c r="AP73" s="15">
        <f t="shared" si="76"/>
        <v>6.6187168700000143</v>
      </c>
      <c r="AQ73" s="15">
        <f t="shared" si="76"/>
        <v>257.81548846999999</v>
      </c>
    </row>
    <row r="74" spans="2:43" ht="30" x14ac:dyDescent="0.25">
      <c r="B74" s="171" t="s">
        <v>572</v>
      </c>
      <c r="C74" s="161" t="s">
        <v>573</v>
      </c>
      <c r="D74" s="185">
        <f t="shared" si="59"/>
        <v>264.43420534000001</v>
      </c>
      <c r="E74" s="186">
        <f t="shared" si="60"/>
        <v>257.81548846999999</v>
      </c>
      <c r="F74" s="186">
        <v>13.679540100000001</v>
      </c>
      <c r="G74" s="186">
        <v>-7.0608232299999996</v>
      </c>
      <c r="H74" s="179">
        <f t="shared" si="61"/>
        <v>271.49502856999999</v>
      </c>
      <c r="I74" s="123" t="s">
        <v>572</v>
      </c>
      <c r="J74" s="11" t="s">
        <v>29</v>
      </c>
      <c r="K74" s="180">
        <f t="shared" si="62"/>
        <v>0.94961403097488772</v>
      </c>
      <c r="L74" s="180">
        <f t="shared" si="56"/>
        <v>5.0385969025112311E-2</v>
      </c>
      <c r="M74" s="180">
        <f t="shared" si="56"/>
        <v>-2.6007191613011418E-2</v>
      </c>
      <c r="AE74" s="123" t="s">
        <v>597</v>
      </c>
      <c r="AF74" s="174">
        <f>AF73/$AF72</f>
        <v>6.0324448997050563E-2</v>
      </c>
      <c r="AG74" s="174">
        <f t="shared" ref="AG74:AJ74" si="77">AG73/$AF72</f>
        <v>0.16850441527602766</v>
      </c>
      <c r="AH74" s="174">
        <f t="shared" si="77"/>
        <v>8.3587005092076345E-3</v>
      </c>
      <c r="AI74" s="174">
        <f t="shared" si="77"/>
        <v>1.9092989604463775E-2</v>
      </c>
      <c r="AJ74" s="174">
        <f t="shared" si="77"/>
        <v>0.74371944561325032</v>
      </c>
      <c r="AM74" s="173" t="s">
        <v>597</v>
      </c>
      <c r="AN74" s="174">
        <f>AN73/$AN72</f>
        <v>0.17932191073416437</v>
      </c>
      <c r="AO74" s="174">
        <f t="shared" ref="AO74:AQ74" si="78">AO73/$AN72</f>
        <v>8.8953048744176682E-3</v>
      </c>
      <c r="AP74" s="174">
        <f t="shared" si="78"/>
        <v>2.0318704242209145E-2</v>
      </c>
      <c r="AQ74" s="174">
        <f t="shared" si="78"/>
        <v>0.79146408014920877</v>
      </c>
    </row>
    <row r="75" spans="2:43" x14ac:dyDescent="0.25">
      <c r="B75" s="123" t="s">
        <v>574</v>
      </c>
      <c r="C75" s="11" t="s">
        <v>575</v>
      </c>
      <c r="D75" s="15">
        <f t="shared" si="59"/>
        <v>4700.1687651000002</v>
      </c>
      <c r="E75" s="178">
        <f t="shared" si="60"/>
        <v>4514.2310362999997</v>
      </c>
      <c r="F75" s="178">
        <v>278.581006</v>
      </c>
      <c r="G75" s="178">
        <v>-92.6432772</v>
      </c>
      <c r="H75" s="179">
        <f t="shared" si="61"/>
        <v>4792.8120423</v>
      </c>
      <c r="I75" s="123" t="s">
        <v>574</v>
      </c>
      <c r="J75" s="11" t="s">
        <v>29</v>
      </c>
      <c r="K75" s="180">
        <f t="shared" si="62"/>
        <v>0.94187524911443987</v>
      </c>
      <c r="L75" s="180">
        <f t="shared" si="56"/>
        <v>5.8124750885560093E-2</v>
      </c>
      <c r="M75" s="180">
        <f t="shared" si="56"/>
        <v>-1.932962869863385E-2</v>
      </c>
      <c r="AE75" s="286" t="str">
        <f>$B$37</f>
        <v>Non-renewable energy</v>
      </c>
      <c r="AF75" s="15">
        <f>D18</f>
        <v>5068.03</v>
      </c>
      <c r="AG75" s="15">
        <f>AN75*Calculations!$C$47</f>
        <v>4773.5559426821646</v>
      </c>
      <c r="AH75" s="15">
        <f>AO75*Calculations!$C$47</f>
        <v>4147.4655702367281</v>
      </c>
      <c r="AI75" s="15">
        <f>AP75*Calculations!$C$47</f>
        <v>4096.041139102309</v>
      </c>
      <c r="AJ75" s="15">
        <f>AQ75*Calculations!$C$47</f>
        <v>3934.0025773955044</v>
      </c>
      <c r="AM75" s="286" t="str">
        <f>$B$37</f>
        <v>Non-renewable energy</v>
      </c>
      <c r="AN75" s="15">
        <f>D37</f>
        <v>5477.6106436200007</v>
      </c>
      <c r="AO75" s="15">
        <f>D56</f>
        <v>4759.1778172000004</v>
      </c>
      <c r="AP75" s="15">
        <f>D75</f>
        <v>4700.1687651000002</v>
      </c>
      <c r="AQ75" s="15">
        <f>D94</f>
        <v>4514.2310362999997</v>
      </c>
    </row>
    <row r="76" spans="2:43" x14ac:dyDescent="0.25">
      <c r="B76" s="123" t="s">
        <v>576</v>
      </c>
      <c r="C76" s="11" t="s">
        <v>577</v>
      </c>
      <c r="D76" s="15">
        <f t="shared" si="59"/>
        <v>5.1250420899999991</v>
      </c>
      <c r="E76" s="178">
        <f t="shared" si="60"/>
        <v>5.0366662199999999</v>
      </c>
      <c r="F76" s="178">
        <v>0.15541529000000001</v>
      </c>
      <c r="G76" s="178">
        <v>-6.7039420000000002E-2</v>
      </c>
      <c r="H76" s="179">
        <f t="shared" si="61"/>
        <v>5.1920815099999995</v>
      </c>
      <c r="I76" s="123" t="s">
        <v>576</v>
      </c>
      <c r="J76" s="11" t="s">
        <v>29</v>
      </c>
      <c r="K76" s="180">
        <f t="shared" si="62"/>
        <v>0.97006686245185703</v>
      </c>
      <c r="L76" s="180">
        <f t="shared" si="56"/>
        <v>2.9933137548143005E-2</v>
      </c>
      <c r="M76" s="180">
        <f t="shared" si="56"/>
        <v>-1.2911858157635127E-2</v>
      </c>
      <c r="AE76" s="286"/>
      <c r="AF76" s="15">
        <f>AF75-AG75</f>
        <v>294.4740573178351</v>
      </c>
      <c r="AG76" s="15">
        <f>AG75-AH75</f>
        <v>626.09037244543651</v>
      </c>
      <c r="AH76" s="15">
        <f t="shared" ref="AH76:AJ76" si="79">AH75-AI75</f>
        <v>51.424431134419137</v>
      </c>
      <c r="AI76" s="15">
        <f t="shared" si="79"/>
        <v>162.03856170680456</v>
      </c>
      <c r="AJ76" s="15">
        <f t="shared" si="79"/>
        <v>3934.0025773955044</v>
      </c>
      <c r="AM76" s="286"/>
      <c r="AN76" s="15">
        <f>AN75-AO75</f>
        <v>718.43282642000031</v>
      </c>
      <c r="AO76" s="15">
        <f t="shared" ref="AO76:AQ76" si="80">AO75-AP75</f>
        <v>59.00905210000019</v>
      </c>
      <c r="AP76" s="15">
        <f t="shared" si="80"/>
        <v>185.93772880000051</v>
      </c>
      <c r="AQ76" s="15">
        <f t="shared" si="80"/>
        <v>4514.2310362999997</v>
      </c>
    </row>
    <row r="77" spans="2:43" ht="30" x14ac:dyDescent="0.25">
      <c r="AE77" s="123" t="s">
        <v>597</v>
      </c>
      <c r="AF77" s="174">
        <f>AF76/$AF75</f>
        <v>5.8104245104672846E-2</v>
      </c>
      <c r="AG77" s="174">
        <f t="shared" ref="AG77:AJ77" si="81">AG76/$AF75</f>
        <v>0.12353722697881357</v>
      </c>
      <c r="AH77" s="174">
        <f t="shared" si="81"/>
        <v>1.0146828478603943E-2</v>
      </c>
      <c r="AI77" s="174">
        <f t="shared" si="81"/>
        <v>3.1972691895431671E-2</v>
      </c>
      <c r="AJ77" s="174">
        <f t="shared" si="81"/>
        <v>0.77623900754247799</v>
      </c>
      <c r="AM77" s="173" t="s">
        <v>597</v>
      </c>
      <c r="AN77" s="174">
        <f>AN76/$AN75</f>
        <v>0.13115806747907297</v>
      </c>
      <c r="AO77" s="174">
        <f t="shared" ref="AO77:AQ77" si="82">AO76/$AN75</f>
        <v>1.0772772279594292E-2</v>
      </c>
      <c r="AP77" s="174">
        <f t="shared" si="82"/>
        <v>3.3945042993621659E-2</v>
      </c>
      <c r="AQ77" s="174">
        <f t="shared" si="82"/>
        <v>0.82412411724771106</v>
      </c>
    </row>
    <row r="78" spans="2:43" x14ac:dyDescent="0.25">
      <c r="B78" s="282" t="s">
        <v>650</v>
      </c>
      <c r="C78" s="282"/>
      <c r="D78" s="282"/>
      <c r="E78" s="282"/>
      <c r="F78" s="282"/>
      <c r="G78" s="282"/>
      <c r="H78" s="282"/>
      <c r="I78" s="282"/>
      <c r="J78" s="282"/>
      <c r="K78" s="282"/>
      <c r="L78" s="282"/>
      <c r="M78" s="282"/>
      <c r="N78" s="282"/>
      <c r="O78" s="282"/>
      <c r="P78" s="282"/>
      <c r="Q78" s="282"/>
      <c r="AE78" s="286" t="str">
        <f>$B$38</f>
        <v>Mineral extraction</v>
      </c>
      <c r="AF78" s="15">
        <f>D19</f>
        <v>9.8569999999999993</v>
      </c>
      <c r="AG78" s="15">
        <f>AN78*Calculations!$C$47</f>
        <v>9.3754743096894853</v>
      </c>
      <c r="AH78" s="15">
        <f>AO78*Calculations!$C$47</f>
        <v>4.4949929030482192</v>
      </c>
      <c r="AI78" s="15">
        <f>AP78*Calculations!$C$47</f>
        <v>4.4663041455330044</v>
      </c>
      <c r="AJ78" s="15">
        <f>AQ78*Calculations!$C$47</f>
        <v>4.389287506915295</v>
      </c>
      <c r="AM78" s="286" t="str">
        <f>$B$38</f>
        <v>Mineral extraction</v>
      </c>
      <c r="AN78" s="15">
        <f>D38</f>
        <v>10.75826878</v>
      </c>
      <c r="AO78" s="15">
        <f>D57</f>
        <v>5.1579621699999993</v>
      </c>
      <c r="AP78" s="15">
        <f>D76</f>
        <v>5.1250420899999991</v>
      </c>
      <c r="AQ78" s="15">
        <f>D95</f>
        <v>5.0366662199999999</v>
      </c>
    </row>
    <row r="79" spans="2:43" x14ac:dyDescent="0.25">
      <c r="AE79" s="286"/>
      <c r="AF79" s="15">
        <f>AF78-AG78</f>
        <v>0.48152569031051407</v>
      </c>
      <c r="AG79" s="15">
        <f>AG78-AH78</f>
        <v>4.8804814066412661</v>
      </c>
      <c r="AH79" s="15">
        <f t="shared" ref="AH79:AJ79" si="83">AH78-AI78</f>
        <v>2.8688757515214824E-2</v>
      </c>
      <c r="AI79" s="15">
        <f t="shared" si="83"/>
        <v>7.7016638617709354E-2</v>
      </c>
      <c r="AJ79" s="15">
        <f t="shared" si="83"/>
        <v>4.389287506915295</v>
      </c>
      <c r="AM79" s="286"/>
      <c r="AN79" s="15">
        <f>AN78-AO78</f>
        <v>5.6003066100000005</v>
      </c>
      <c r="AO79" s="15">
        <f t="shared" ref="AO79:AQ79" si="84">AO78-AP78</f>
        <v>3.292008000000024E-2</v>
      </c>
      <c r="AP79" s="15">
        <f t="shared" si="84"/>
        <v>8.8375869999999246E-2</v>
      </c>
      <c r="AQ79" s="15">
        <f t="shared" si="84"/>
        <v>5.0366662199999999</v>
      </c>
    </row>
    <row r="80" spans="2:43" ht="32.450000000000003" customHeight="1" x14ac:dyDescent="0.25">
      <c r="B80" s="162" t="s">
        <v>547</v>
      </c>
      <c r="C80" s="162" t="s">
        <v>337</v>
      </c>
      <c r="D80" s="162" t="s">
        <v>213</v>
      </c>
      <c r="E80" s="162" t="s">
        <v>596</v>
      </c>
      <c r="F80" s="162" t="s">
        <v>585</v>
      </c>
      <c r="G80" s="162" t="s">
        <v>586</v>
      </c>
      <c r="H80" s="162" t="s">
        <v>209</v>
      </c>
      <c r="I80" s="162" t="s">
        <v>587</v>
      </c>
      <c r="J80" s="162" t="s">
        <v>581</v>
      </c>
      <c r="L80" s="122" t="s">
        <v>547</v>
      </c>
      <c r="M80" s="122" t="s">
        <v>337</v>
      </c>
      <c r="N80" s="162" t="s">
        <v>596</v>
      </c>
      <c r="O80" s="162" t="s">
        <v>585</v>
      </c>
      <c r="P80" s="162" t="s">
        <v>586</v>
      </c>
      <c r="Q80" s="162" t="s">
        <v>209</v>
      </c>
      <c r="R80" s="162" t="s">
        <v>587</v>
      </c>
      <c r="S80" s="162" t="s">
        <v>581</v>
      </c>
      <c r="AE80" s="123" t="s">
        <v>597</v>
      </c>
      <c r="AF80" s="174">
        <f>AF79/$AF78</f>
        <v>4.8851140337883139E-2</v>
      </c>
      <c r="AG80" s="174">
        <f t="shared" ref="AG80:AJ80" si="85">AG79/$AF78</f>
        <v>0.49512847789806902</v>
      </c>
      <c r="AH80" s="174">
        <f t="shared" si="85"/>
        <v>2.9104958420629835E-3</v>
      </c>
      <c r="AI80" s="174">
        <f t="shared" si="85"/>
        <v>7.8133954162229232E-3</v>
      </c>
      <c r="AJ80" s="174">
        <f t="shared" si="85"/>
        <v>0.44529649050576192</v>
      </c>
      <c r="AM80" s="173" t="s">
        <v>597</v>
      </c>
      <c r="AN80" s="174">
        <f>AN79/$AN78</f>
        <v>0.52055834674916912</v>
      </c>
      <c r="AO80" s="174">
        <f t="shared" ref="AO80:AQ80" si="86">AO79/$AN78</f>
        <v>3.0599793213197859E-3</v>
      </c>
      <c r="AP80" s="174">
        <f t="shared" si="86"/>
        <v>8.214692513008515E-3</v>
      </c>
      <c r="AQ80" s="174">
        <f t="shared" si="86"/>
        <v>0.46816698141650259</v>
      </c>
    </row>
    <row r="81" spans="2:19" ht="18" x14ac:dyDescent="0.25">
      <c r="B81" s="123" t="s">
        <v>550</v>
      </c>
      <c r="C81" s="11" t="s">
        <v>551</v>
      </c>
      <c r="D81" s="15">
        <f t="shared" ref="D81:D95" si="87">SUM(F81:J81)</f>
        <v>3.4192066700000003</v>
      </c>
      <c r="E81" s="178">
        <v>0</v>
      </c>
      <c r="F81" s="178">
        <v>1.38</v>
      </c>
      <c r="G81" s="178">
        <v>0.34699999999999998</v>
      </c>
      <c r="H81" s="178">
        <v>0.93522095000000005</v>
      </c>
      <c r="I81" s="178">
        <v>8.8713840000000002E-2</v>
      </c>
      <c r="J81" s="178">
        <v>0.66827188000000004</v>
      </c>
      <c r="L81" s="123" t="s">
        <v>550</v>
      </c>
      <c r="M81" s="11" t="s">
        <v>29</v>
      </c>
      <c r="N81" s="180">
        <f t="shared" ref="N81:S95" si="88">E81/$D81</f>
        <v>0</v>
      </c>
      <c r="O81" s="180">
        <f t="shared" si="88"/>
        <v>0.40360239470403225</v>
      </c>
      <c r="P81" s="180">
        <f t="shared" si="88"/>
        <v>0.1014855296828255</v>
      </c>
      <c r="Q81" s="180">
        <f t="shared" si="88"/>
        <v>0.2735198659401305</v>
      </c>
      <c r="R81" s="180">
        <f t="shared" si="88"/>
        <v>2.5945737874920556E-2</v>
      </c>
      <c r="S81" s="180">
        <f t="shared" si="88"/>
        <v>0.1954464717980911</v>
      </c>
    </row>
    <row r="82" spans="2:19" ht="18" x14ac:dyDescent="0.25">
      <c r="B82" s="123" t="s">
        <v>552</v>
      </c>
      <c r="C82" s="11" t="s">
        <v>551</v>
      </c>
      <c r="D82" s="15">
        <f t="shared" si="87"/>
        <v>4.2480427199999999</v>
      </c>
      <c r="E82" s="178">
        <v>0</v>
      </c>
      <c r="F82" s="178">
        <v>3.11</v>
      </c>
      <c r="G82" s="178">
        <v>0.13100000000000001</v>
      </c>
      <c r="H82" s="178">
        <v>0.45605932999999999</v>
      </c>
      <c r="I82" s="178">
        <v>0.29878788000000001</v>
      </c>
      <c r="J82" s="178">
        <v>0.25219551000000001</v>
      </c>
      <c r="L82" s="123" t="s">
        <v>552</v>
      </c>
      <c r="M82" s="11" t="s">
        <v>29</v>
      </c>
      <c r="N82" s="180">
        <f t="shared" si="88"/>
        <v>0</v>
      </c>
      <c r="O82" s="180">
        <f t="shared" si="88"/>
        <v>0.7321018654915975</v>
      </c>
      <c r="P82" s="180">
        <f t="shared" si="88"/>
        <v>3.0837731311703948E-2</v>
      </c>
      <c r="Q82" s="180">
        <f t="shared" si="88"/>
        <v>0.10735751970027269</v>
      </c>
      <c r="R82" s="180">
        <f t="shared" si="88"/>
        <v>7.0335422615523988E-2</v>
      </c>
      <c r="S82" s="180">
        <f t="shared" si="88"/>
        <v>5.9367460880901876E-2</v>
      </c>
    </row>
    <row r="83" spans="2:19" x14ac:dyDescent="0.25">
      <c r="B83" s="123" t="s">
        <v>553</v>
      </c>
      <c r="C83" s="11" t="s">
        <v>554</v>
      </c>
      <c r="D83" s="15">
        <f t="shared" si="87"/>
        <v>0.21729338000000001</v>
      </c>
      <c r="E83" s="178">
        <v>0</v>
      </c>
      <c r="F83" s="178">
        <v>0.109</v>
      </c>
      <c r="G83" s="178">
        <v>2.93E-2</v>
      </c>
      <c r="H83" s="178">
        <v>1.8852520000000001E-2</v>
      </c>
      <c r="I83" s="178">
        <v>3.7448400000000001E-3</v>
      </c>
      <c r="J83" s="178">
        <v>5.6396019999999998E-2</v>
      </c>
      <c r="L83" s="123" t="s">
        <v>553</v>
      </c>
      <c r="M83" s="11" t="s">
        <v>29</v>
      </c>
      <c r="N83" s="180">
        <f t="shared" si="88"/>
        <v>0</v>
      </c>
      <c r="O83" s="180">
        <f t="shared" si="88"/>
        <v>0.50162595841622049</v>
      </c>
      <c r="P83" s="180">
        <f t="shared" si="88"/>
        <v>0.13484073928069046</v>
      </c>
      <c r="Q83" s="180">
        <f t="shared" si="88"/>
        <v>8.6760673518907941E-2</v>
      </c>
      <c r="R83" s="180">
        <f t="shared" si="88"/>
        <v>1.7234027101976138E-2</v>
      </c>
      <c r="S83" s="180">
        <f t="shared" si="88"/>
        <v>0.25953860168220494</v>
      </c>
    </row>
    <row r="84" spans="2:19" x14ac:dyDescent="0.25">
      <c r="B84" s="123" t="s">
        <v>555</v>
      </c>
      <c r="C84" s="11" t="s">
        <v>556</v>
      </c>
      <c r="D84" s="15">
        <f t="shared" si="87"/>
        <v>7766.3298332999993</v>
      </c>
      <c r="E84" s="178">
        <v>0</v>
      </c>
      <c r="F84" s="178">
        <v>4160</v>
      </c>
      <c r="G84" s="178">
        <v>1050</v>
      </c>
      <c r="H84" s="178">
        <v>520.23194799999999</v>
      </c>
      <c r="I84" s="178">
        <v>22.0983053</v>
      </c>
      <c r="J84" s="178">
        <v>2013.9995799999999</v>
      </c>
      <c r="L84" s="123" t="s">
        <v>555</v>
      </c>
      <c r="M84" s="11" t="s">
        <v>29</v>
      </c>
      <c r="N84" s="180">
        <f t="shared" si="88"/>
        <v>0</v>
      </c>
      <c r="O84" s="180">
        <f t="shared" si="88"/>
        <v>0.53564554806351428</v>
      </c>
      <c r="P84" s="180">
        <f t="shared" si="88"/>
        <v>0.13519899650641587</v>
      </c>
      <c r="Q84" s="180">
        <f t="shared" si="88"/>
        <v>6.6985559352550406E-2</v>
      </c>
      <c r="R84" s="180">
        <f t="shared" si="88"/>
        <v>2.8453987629070586E-3</v>
      </c>
      <c r="S84" s="180">
        <f t="shared" si="88"/>
        <v>0.25932449731461243</v>
      </c>
    </row>
    <row r="85" spans="2:19" x14ac:dyDescent="0.25">
      <c r="B85" s="123" t="s">
        <v>557</v>
      </c>
      <c r="C85" s="11" t="s">
        <v>558</v>
      </c>
      <c r="D85" s="15">
        <f t="shared" si="87"/>
        <v>4.2858029999999997E-5</v>
      </c>
      <c r="E85" s="178">
        <v>0</v>
      </c>
      <c r="F85" s="178">
        <v>3.1999999999999999E-5</v>
      </c>
      <c r="G85" s="178">
        <v>3.1E-6</v>
      </c>
      <c r="H85" s="178">
        <v>1.632E-6</v>
      </c>
      <c r="I85" s="178">
        <v>1.5253E-7</v>
      </c>
      <c r="J85" s="178">
        <v>5.9734999999999996E-6</v>
      </c>
      <c r="L85" s="123" t="s">
        <v>557</v>
      </c>
      <c r="M85" s="11" t="s">
        <v>29</v>
      </c>
      <c r="N85" s="180">
        <f t="shared" si="88"/>
        <v>0</v>
      </c>
      <c r="O85" s="180">
        <f t="shared" si="88"/>
        <v>0.74665121098659926</v>
      </c>
      <c r="P85" s="180">
        <f t="shared" si="88"/>
        <v>7.2331836064326804E-2</v>
      </c>
      <c r="Q85" s="180">
        <f t="shared" si="88"/>
        <v>3.8079211760316561E-2</v>
      </c>
      <c r="R85" s="180">
        <f t="shared" si="88"/>
        <v>3.5589596628683123E-3</v>
      </c>
      <c r="S85" s="180">
        <f t="shared" si="88"/>
        <v>0.13937878152588909</v>
      </c>
    </row>
    <row r="86" spans="2:19" ht="18" x14ac:dyDescent="0.25">
      <c r="B86" s="123" t="s">
        <v>559</v>
      </c>
      <c r="C86" s="11" t="s">
        <v>560</v>
      </c>
      <c r="D86" s="15">
        <f t="shared" si="87"/>
        <v>9.4109340000000014E-2</v>
      </c>
      <c r="E86" s="178">
        <v>0</v>
      </c>
      <c r="F86" s="178">
        <v>7.9699999999999993E-2</v>
      </c>
      <c r="G86" s="178">
        <v>2.6700000000000001E-3</v>
      </c>
      <c r="H86" s="178">
        <v>5.9850499999999996E-3</v>
      </c>
      <c r="I86" s="178">
        <v>6.0548000000000004E-4</v>
      </c>
      <c r="J86" s="178">
        <v>5.1488100000000002E-3</v>
      </c>
      <c r="L86" s="123" t="s">
        <v>559</v>
      </c>
      <c r="M86" s="11" t="s">
        <v>29</v>
      </c>
      <c r="N86" s="180">
        <f t="shared" si="88"/>
        <v>0</v>
      </c>
      <c r="O86" s="180">
        <f t="shared" si="88"/>
        <v>0.84688724838576046</v>
      </c>
      <c r="P86" s="180">
        <f t="shared" si="88"/>
        <v>2.8371254117816571E-2</v>
      </c>
      <c r="Q86" s="180">
        <f t="shared" si="88"/>
        <v>6.3596769459864436E-2</v>
      </c>
      <c r="R86" s="180">
        <f t="shared" si="88"/>
        <v>6.4337928626425388E-3</v>
      </c>
      <c r="S86" s="180">
        <f t="shared" si="88"/>
        <v>5.471093517391578E-2</v>
      </c>
    </row>
    <row r="87" spans="2:19" x14ac:dyDescent="0.25">
      <c r="B87" s="123" t="s">
        <v>561</v>
      </c>
      <c r="C87" s="11" t="s">
        <v>562</v>
      </c>
      <c r="D87" s="15">
        <f t="shared" si="87"/>
        <v>20045.480142</v>
      </c>
      <c r="E87" s="178">
        <v>0</v>
      </c>
      <c r="F87" s="178">
        <v>15300</v>
      </c>
      <c r="G87" s="178">
        <v>1220</v>
      </c>
      <c r="H87" s="178">
        <v>1056.99965</v>
      </c>
      <c r="I87" s="178">
        <v>128.78274200000001</v>
      </c>
      <c r="J87" s="178">
        <v>2339.6977499999998</v>
      </c>
      <c r="L87" s="123" t="s">
        <v>561</v>
      </c>
      <c r="M87" s="11" t="s">
        <v>29</v>
      </c>
      <c r="N87" s="180">
        <f t="shared" si="88"/>
        <v>0</v>
      </c>
      <c r="O87" s="180">
        <f t="shared" si="88"/>
        <v>0.76326433149101269</v>
      </c>
      <c r="P87" s="180">
        <f t="shared" si="88"/>
        <v>6.0861600288825847E-2</v>
      </c>
      <c r="Q87" s="180">
        <f t="shared" si="88"/>
        <v>5.2730073937482635E-2</v>
      </c>
      <c r="R87" s="180">
        <f t="shared" si="88"/>
        <v>6.4245276784450703E-3</v>
      </c>
      <c r="S87" s="180">
        <f t="shared" si="88"/>
        <v>0.11671946660423375</v>
      </c>
    </row>
    <row r="88" spans="2:19" x14ac:dyDescent="0.25">
      <c r="B88" s="123" t="s">
        <v>563</v>
      </c>
      <c r="C88" s="11" t="s">
        <v>564</v>
      </c>
      <c r="D88" s="15">
        <f t="shared" si="87"/>
        <v>12617.2719805</v>
      </c>
      <c r="E88" s="178">
        <v>0</v>
      </c>
      <c r="F88" s="178">
        <v>11400</v>
      </c>
      <c r="G88" s="178">
        <v>290</v>
      </c>
      <c r="H88" s="178">
        <v>322.54651799999999</v>
      </c>
      <c r="I88" s="178">
        <v>45.498157499999998</v>
      </c>
      <c r="J88" s="178">
        <v>559.227305</v>
      </c>
      <c r="L88" s="123" t="s">
        <v>563</v>
      </c>
      <c r="M88" s="11" t="s">
        <v>29</v>
      </c>
      <c r="N88" s="180">
        <f t="shared" si="88"/>
        <v>0</v>
      </c>
      <c r="O88" s="180">
        <f t="shared" si="88"/>
        <v>0.90352336207214257</v>
      </c>
      <c r="P88" s="180">
        <f t="shared" si="88"/>
        <v>2.2984366228150994E-2</v>
      </c>
      <c r="Q88" s="180">
        <f t="shared" si="88"/>
        <v>2.5563887225265161E-2</v>
      </c>
      <c r="R88" s="180">
        <f t="shared" si="88"/>
        <v>3.6060217747796372E-3</v>
      </c>
      <c r="S88" s="180">
        <f t="shared" si="88"/>
        <v>4.4322362699661708E-2</v>
      </c>
    </row>
    <row r="89" spans="2:19" ht="18" x14ac:dyDescent="0.25">
      <c r="B89" s="123" t="s">
        <v>565</v>
      </c>
      <c r="C89" s="11" t="s">
        <v>566</v>
      </c>
      <c r="D89" s="15">
        <f t="shared" si="87"/>
        <v>3.1733674000000001</v>
      </c>
      <c r="E89" s="178">
        <v>0</v>
      </c>
      <c r="F89" s="178">
        <v>1.53</v>
      </c>
      <c r="G89" s="178">
        <v>0.45700000000000002</v>
      </c>
      <c r="H89" s="178">
        <v>0.25278430000000002</v>
      </c>
      <c r="I89" s="178">
        <v>5.435359E-2</v>
      </c>
      <c r="J89" s="178">
        <v>0.87922951000000005</v>
      </c>
      <c r="L89" s="123" t="s">
        <v>565</v>
      </c>
      <c r="M89" s="11" t="s">
        <v>29</v>
      </c>
      <c r="N89" s="180">
        <f t="shared" si="88"/>
        <v>0</v>
      </c>
      <c r="O89" s="180">
        <f t="shared" si="88"/>
        <v>0.48213768125304368</v>
      </c>
      <c r="P89" s="180">
        <f t="shared" si="88"/>
        <v>0.1440110590409418</v>
      </c>
      <c r="Q89" s="180">
        <f t="shared" si="88"/>
        <v>7.9658062914492664E-2</v>
      </c>
      <c r="R89" s="180">
        <f t="shared" si="88"/>
        <v>1.7128048268221324E-2</v>
      </c>
      <c r="S89" s="180">
        <f t="shared" si="88"/>
        <v>0.27706514852330055</v>
      </c>
    </row>
    <row r="90" spans="2:19" x14ac:dyDescent="0.25">
      <c r="B90" s="123" t="s">
        <v>567</v>
      </c>
      <c r="C90" s="11" t="s">
        <v>568</v>
      </c>
      <c r="D90" s="15">
        <f t="shared" si="87"/>
        <v>7.6115492499999995</v>
      </c>
      <c r="E90" s="178">
        <v>0</v>
      </c>
      <c r="F90" s="178">
        <v>6.34</v>
      </c>
      <c r="G90" s="178">
        <v>0.31900000000000001</v>
      </c>
      <c r="H90" s="178">
        <v>0.31550223999999999</v>
      </c>
      <c r="I90" s="178">
        <v>2.3443350000000002E-2</v>
      </c>
      <c r="J90" s="178">
        <v>0.61360366</v>
      </c>
      <c r="L90" s="123" t="s">
        <v>567</v>
      </c>
      <c r="M90" s="11" t="s">
        <v>29</v>
      </c>
      <c r="N90" s="180">
        <f t="shared" si="88"/>
        <v>0</v>
      </c>
      <c r="O90" s="180">
        <f t="shared" si="88"/>
        <v>0.83294475168770676</v>
      </c>
      <c r="P90" s="180">
        <f t="shared" si="88"/>
        <v>4.1909996181132246E-2</v>
      </c>
      <c r="Q90" s="180">
        <f t="shared" si="88"/>
        <v>4.1450462926453512E-2</v>
      </c>
      <c r="R90" s="180">
        <f t="shared" si="88"/>
        <v>3.0799708745233439E-3</v>
      </c>
      <c r="S90" s="180">
        <f t="shared" si="88"/>
        <v>8.0614818330184232E-2</v>
      </c>
    </row>
    <row r="91" spans="2:19" ht="18" x14ac:dyDescent="0.25">
      <c r="B91" s="123" t="s">
        <v>569</v>
      </c>
      <c r="C91" s="11" t="s">
        <v>566</v>
      </c>
      <c r="D91" s="15">
        <f t="shared" si="87"/>
        <v>0.98220441000000003</v>
      </c>
      <c r="E91" s="178">
        <v>0</v>
      </c>
      <c r="F91" s="178">
        <v>0.42599999999999999</v>
      </c>
      <c r="G91" s="178">
        <v>0.157</v>
      </c>
      <c r="H91" s="178">
        <v>8.2251320000000003E-2</v>
      </c>
      <c r="I91" s="178">
        <v>1.550724E-2</v>
      </c>
      <c r="J91" s="178">
        <v>0.30144585000000002</v>
      </c>
      <c r="L91" s="123" t="s">
        <v>569</v>
      </c>
      <c r="M91" s="11" t="s">
        <v>29</v>
      </c>
      <c r="N91" s="180">
        <f t="shared" si="88"/>
        <v>0</v>
      </c>
      <c r="O91" s="180">
        <f t="shared" si="88"/>
        <v>0.43371827255387702</v>
      </c>
      <c r="P91" s="180">
        <f t="shared" si="88"/>
        <v>0.15984452767830679</v>
      </c>
      <c r="Q91" s="180">
        <f t="shared" si="88"/>
        <v>8.3741550295014455E-2</v>
      </c>
      <c r="R91" s="180">
        <f t="shared" si="88"/>
        <v>1.5788200340090104E-2</v>
      </c>
      <c r="S91" s="180">
        <f t="shared" si="88"/>
        <v>0.30690744913271162</v>
      </c>
    </row>
    <row r="92" spans="2:19" ht="18" x14ac:dyDescent="0.25">
      <c r="B92" s="123" t="s">
        <v>570</v>
      </c>
      <c r="C92" s="11" t="s">
        <v>571</v>
      </c>
      <c r="D92" s="15">
        <f t="shared" si="87"/>
        <v>3.4601650000000005E-2</v>
      </c>
      <c r="E92" s="178">
        <v>0</v>
      </c>
      <c r="F92" s="178">
        <v>2.1299999999999999E-2</v>
      </c>
      <c r="G92" s="178">
        <v>2.9499999999999999E-3</v>
      </c>
      <c r="H92" s="178">
        <v>4.3141200000000003E-3</v>
      </c>
      <c r="I92" s="178">
        <v>3.5114E-4</v>
      </c>
      <c r="J92" s="178">
        <v>5.6863900000000004E-3</v>
      </c>
      <c r="L92" s="123" t="s">
        <v>570</v>
      </c>
      <c r="M92" s="11" t="s">
        <v>29</v>
      </c>
      <c r="N92" s="180">
        <f t="shared" si="88"/>
        <v>0</v>
      </c>
      <c r="O92" s="180">
        <f t="shared" si="88"/>
        <v>0.61557758083790792</v>
      </c>
      <c r="P92" s="180">
        <f t="shared" si="88"/>
        <v>8.5256049928254848E-2</v>
      </c>
      <c r="Q92" s="180">
        <f t="shared" si="88"/>
        <v>0.12467960342931622</v>
      </c>
      <c r="R92" s="180">
        <f t="shared" si="88"/>
        <v>1.0148070973494037E-2</v>
      </c>
      <c r="S92" s="180">
        <f t="shared" si="88"/>
        <v>0.16433869483102684</v>
      </c>
    </row>
    <row r="93" spans="2:19" ht="18" x14ac:dyDescent="0.25">
      <c r="B93" s="171" t="s">
        <v>572</v>
      </c>
      <c r="C93" s="161" t="s">
        <v>573</v>
      </c>
      <c r="D93" s="185">
        <f t="shared" si="87"/>
        <v>257.81548846999999</v>
      </c>
      <c r="E93" s="186">
        <v>0</v>
      </c>
      <c r="F93" s="186">
        <v>173</v>
      </c>
      <c r="G93" s="186">
        <v>22.9</v>
      </c>
      <c r="H93" s="186">
        <v>15.9121243</v>
      </c>
      <c r="I93" s="186">
        <v>1.99288157</v>
      </c>
      <c r="J93" s="186">
        <v>44.010482600000003</v>
      </c>
      <c r="L93" s="123" t="s">
        <v>572</v>
      </c>
      <c r="M93" s="11" t="s">
        <v>29</v>
      </c>
      <c r="N93" s="180">
        <f t="shared" si="88"/>
        <v>0</v>
      </c>
      <c r="O93" s="180">
        <f t="shared" si="88"/>
        <v>0.67102252477795055</v>
      </c>
      <c r="P93" s="180">
        <f t="shared" si="88"/>
        <v>8.8823212817428138E-2</v>
      </c>
      <c r="Q93" s="180">
        <f t="shared" si="88"/>
        <v>6.1719039435644968E-2</v>
      </c>
      <c r="R93" s="180">
        <f t="shared" si="88"/>
        <v>7.7298752756349478E-3</v>
      </c>
      <c r="S93" s="180">
        <f t="shared" si="88"/>
        <v>0.17070534769334142</v>
      </c>
    </row>
    <row r="94" spans="2:19" x14ac:dyDescent="0.25">
      <c r="B94" s="123" t="s">
        <v>574</v>
      </c>
      <c r="C94" s="11" t="s">
        <v>575</v>
      </c>
      <c r="D94" s="15">
        <f t="shared" si="87"/>
        <v>4514.2310362999997</v>
      </c>
      <c r="E94" s="178">
        <v>0</v>
      </c>
      <c r="F94" s="178">
        <v>2840</v>
      </c>
      <c r="G94" s="178">
        <v>465</v>
      </c>
      <c r="H94" s="178">
        <v>282.89326999999997</v>
      </c>
      <c r="I94" s="178">
        <v>30.073382299999999</v>
      </c>
      <c r="J94" s="178">
        <v>896.26438399999995</v>
      </c>
      <c r="L94" s="123" t="s">
        <v>574</v>
      </c>
      <c r="M94" s="11" t="s">
        <v>29</v>
      </c>
      <c r="N94" s="180">
        <f t="shared" si="88"/>
        <v>0</v>
      </c>
      <c r="O94" s="180">
        <f t="shared" si="88"/>
        <v>0.62912154410416488</v>
      </c>
      <c r="P94" s="180">
        <f t="shared" si="88"/>
        <v>0.10300757676353403</v>
      </c>
      <c r="Q94" s="180">
        <f t="shared" si="88"/>
        <v>6.2666989732069148E-2</v>
      </c>
      <c r="R94" s="180">
        <f t="shared" si="88"/>
        <v>6.6619058834545284E-3</v>
      </c>
      <c r="S94" s="180">
        <f t="shared" si="88"/>
        <v>0.19854198351677749</v>
      </c>
    </row>
    <row r="95" spans="2:19" x14ac:dyDescent="0.25">
      <c r="B95" s="123" t="s">
        <v>576</v>
      </c>
      <c r="C95" s="11" t="s">
        <v>577</v>
      </c>
      <c r="D95" s="15">
        <f t="shared" si="87"/>
        <v>5.0366662199999999</v>
      </c>
      <c r="E95" s="178">
        <v>0</v>
      </c>
      <c r="F95" s="178">
        <v>3.51</v>
      </c>
      <c r="G95" s="178">
        <v>0.26</v>
      </c>
      <c r="H95" s="178">
        <v>0.63850711000000004</v>
      </c>
      <c r="I95" s="178">
        <v>0.12814948000000001</v>
      </c>
      <c r="J95" s="178">
        <v>0.50000962999999998</v>
      </c>
      <c r="L95" s="123" t="s">
        <v>576</v>
      </c>
      <c r="M95" s="11" t="s">
        <v>29</v>
      </c>
      <c r="N95" s="180">
        <f t="shared" si="88"/>
        <v>0</v>
      </c>
      <c r="O95" s="180">
        <f t="shared" si="88"/>
        <v>0.69688953896968775</v>
      </c>
      <c r="P95" s="180">
        <f t="shared" si="88"/>
        <v>5.1621447331087984E-2</v>
      </c>
      <c r="Q95" s="180">
        <f t="shared" si="88"/>
        <v>0.12677177365150077</v>
      </c>
      <c r="R95" s="180">
        <f t="shared" si="88"/>
        <v>2.5443313970485822E-2</v>
      </c>
      <c r="S95" s="180">
        <f t="shared" si="88"/>
        <v>9.9273926077237659E-2</v>
      </c>
    </row>
    <row r="97" spans="2:30" s="148" customFormat="1" ht="15.75" thickBot="1" x14ac:dyDescent="0.3">
      <c r="AD97" s="190"/>
    </row>
    <row r="100" spans="2:30" x14ac:dyDescent="0.25">
      <c r="B100" s="282" t="s">
        <v>646</v>
      </c>
      <c r="C100" s="282"/>
      <c r="D100" s="282"/>
      <c r="E100" s="282"/>
      <c r="F100" s="282"/>
      <c r="G100" s="282"/>
      <c r="H100" s="282"/>
      <c r="I100" s="282"/>
      <c r="J100" s="282"/>
      <c r="K100" s="282"/>
      <c r="L100" s="282"/>
      <c r="M100" s="282"/>
      <c r="N100" s="282"/>
      <c r="O100" s="282"/>
      <c r="P100" s="282"/>
      <c r="Q100" s="282"/>
      <c r="R100" s="282"/>
      <c r="S100" s="282"/>
    </row>
    <row r="102" spans="2:30" ht="27.95" customHeight="1" x14ac:dyDescent="0.25">
      <c r="B102" s="162" t="s">
        <v>547</v>
      </c>
      <c r="C102" s="162" t="s">
        <v>337</v>
      </c>
      <c r="D102" s="162" t="s">
        <v>595</v>
      </c>
      <c r="E102" s="162" t="s">
        <v>615</v>
      </c>
      <c r="F102" s="162" t="s">
        <v>548</v>
      </c>
      <c r="G102" s="162" t="s">
        <v>549</v>
      </c>
      <c r="H102" s="162" t="s">
        <v>582</v>
      </c>
      <c r="L102" s="162" t="s">
        <v>547</v>
      </c>
      <c r="M102" s="162" t="s">
        <v>337</v>
      </c>
      <c r="N102" s="162" t="s">
        <v>615</v>
      </c>
      <c r="O102" s="162" t="s">
        <v>548</v>
      </c>
      <c r="P102" s="162" t="s">
        <v>549</v>
      </c>
      <c r="Q102" s="162" t="s">
        <v>582</v>
      </c>
    </row>
    <row r="103" spans="2:30" x14ac:dyDescent="0.25">
      <c r="B103" s="123" t="s">
        <v>588</v>
      </c>
      <c r="C103" s="11" t="s">
        <v>589</v>
      </c>
      <c r="D103" s="15">
        <f>SUM(E103:J103)</f>
        <v>2.2334002419999998E-4</v>
      </c>
      <c r="E103" s="178">
        <v>0</v>
      </c>
      <c r="F103" s="178">
        <v>2.14E-4</v>
      </c>
      <c r="G103" s="178">
        <v>2.4200000000000001E-11</v>
      </c>
      <c r="H103" s="178">
        <v>9.3400000000000004E-6</v>
      </c>
      <c r="L103" s="123" t="s">
        <v>588</v>
      </c>
      <c r="M103" s="11" t="s">
        <v>29</v>
      </c>
      <c r="N103" s="180">
        <f>E103/$D103</f>
        <v>0</v>
      </c>
      <c r="O103" s="180">
        <f t="shared" ref="O103:Q106" si="89">F103/$D103</f>
        <v>0.95818024900169241</v>
      </c>
      <c r="P103" s="180">
        <f t="shared" si="89"/>
        <v>1.0835496273757457E-7</v>
      </c>
      <c r="Q103" s="180">
        <f t="shared" si="89"/>
        <v>4.1819642643344895E-2</v>
      </c>
    </row>
    <row r="104" spans="2:30" ht="17.25" x14ac:dyDescent="0.25">
      <c r="B104" s="123" t="s">
        <v>590</v>
      </c>
      <c r="C104" s="11" t="s">
        <v>591</v>
      </c>
      <c r="D104" s="15">
        <f t="shared" ref="D104:D106" si="90">SUM(E104:J104)</f>
        <v>126.4000372</v>
      </c>
      <c r="E104" s="178">
        <v>0</v>
      </c>
      <c r="F104" s="178">
        <v>116</v>
      </c>
      <c r="G104" s="178">
        <v>3.7200000000000003E-5</v>
      </c>
      <c r="H104" s="178">
        <v>10.4</v>
      </c>
      <c r="L104" s="123" t="s">
        <v>590</v>
      </c>
      <c r="M104" s="11" t="s">
        <v>29</v>
      </c>
      <c r="N104" s="180">
        <f t="shared" ref="N104:N106" si="91">E104/$D104</f>
        <v>0</v>
      </c>
      <c r="O104" s="180">
        <f t="shared" si="89"/>
        <v>0.91772124889849316</v>
      </c>
      <c r="P104" s="180">
        <f t="shared" si="89"/>
        <v>2.9430371085365473E-7</v>
      </c>
      <c r="Q104" s="180">
        <f t="shared" si="89"/>
        <v>8.227845679779594E-2</v>
      </c>
    </row>
    <row r="105" spans="2:30" s="192" customFormat="1" ht="18" x14ac:dyDescent="0.25">
      <c r="B105" s="171" t="s">
        <v>592</v>
      </c>
      <c r="C105" s="161" t="s">
        <v>573</v>
      </c>
      <c r="D105" s="185">
        <f t="shared" si="90"/>
        <v>302.10000002370003</v>
      </c>
      <c r="E105" s="186">
        <v>0</v>
      </c>
      <c r="F105" s="186">
        <v>284</v>
      </c>
      <c r="G105" s="186">
        <v>2.37E-8</v>
      </c>
      <c r="H105" s="186">
        <v>18.100000000000001</v>
      </c>
      <c r="I105" s="128"/>
      <c r="J105" s="128"/>
      <c r="K105" s="128"/>
      <c r="L105" s="171" t="s">
        <v>592</v>
      </c>
      <c r="M105" s="161" t="s">
        <v>29</v>
      </c>
      <c r="N105" s="191">
        <f t="shared" si="91"/>
        <v>0</v>
      </c>
      <c r="O105" s="191">
        <f t="shared" si="89"/>
        <v>0.94008606414339602</v>
      </c>
      <c r="P105" s="191">
        <f t="shared" si="89"/>
        <v>7.845084408520593E-11</v>
      </c>
      <c r="Q105" s="191">
        <f t="shared" si="89"/>
        <v>5.9913935778153057E-2</v>
      </c>
      <c r="R105" s="128"/>
      <c r="S105" s="128"/>
      <c r="AD105" s="193"/>
    </row>
    <row r="106" spans="2:30" x14ac:dyDescent="0.25">
      <c r="B106" s="123" t="s">
        <v>593</v>
      </c>
      <c r="C106" s="11" t="s">
        <v>575</v>
      </c>
      <c r="D106" s="15">
        <f t="shared" si="90"/>
        <v>5079.1499999999996</v>
      </c>
      <c r="E106" s="178">
        <v>0</v>
      </c>
      <c r="F106" s="178">
        <v>4780</v>
      </c>
      <c r="G106" s="178">
        <v>2.15</v>
      </c>
      <c r="H106" s="178">
        <v>297</v>
      </c>
      <c r="L106" s="123" t="s">
        <v>593</v>
      </c>
      <c r="M106" s="11" t="s">
        <v>29</v>
      </c>
      <c r="N106" s="180">
        <f t="shared" si="91"/>
        <v>0</v>
      </c>
      <c r="O106" s="180">
        <f t="shared" si="89"/>
        <v>0.94110234980262453</v>
      </c>
      <c r="P106" s="180">
        <f t="shared" si="89"/>
        <v>4.2329917407440222E-4</v>
      </c>
      <c r="Q106" s="180">
        <f t="shared" si="89"/>
        <v>5.8474351023301147E-2</v>
      </c>
    </row>
    <row r="108" spans="2:30" ht="17.25" x14ac:dyDescent="0.25">
      <c r="B108" s="282" t="s">
        <v>647</v>
      </c>
      <c r="C108" s="282"/>
      <c r="D108" s="282"/>
      <c r="E108" s="282"/>
      <c r="F108" s="282"/>
      <c r="G108" s="282"/>
      <c r="H108" s="282"/>
      <c r="I108" s="282"/>
      <c r="J108" s="282"/>
      <c r="K108" s="282"/>
      <c r="L108" s="282"/>
      <c r="M108" s="282"/>
      <c r="N108" s="282"/>
      <c r="O108" s="282"/>
      <c r="P108" s="282"/>
      <c r="Q108" s="282"/>
      <c r="R108" s="282"/>
      <c r="S108" s="282"/>
      <c r="T108" s="282"/>
      <c r="U108" s="282"/>
      <c r="V108" s="282"/>
      <c r="W108" s="282"/>
      <c r="X108" s="282"/>
      <c r="Y108" s="282"/>
    </row>
    <row r="110" spans="2:30" ht="27.95" customHeight="1" x14ac:dyDescent="0.25">
      <c r="B110" s="162" t="s">
        <v>547</v>
      </c>
      <c r="C110" s="162" t="s">
        <v>337</v>
      </c>
      <c r="D110" s="162" t="s">
        <v>213</v>
      </c>
      <c r="E110" s="162" t="s">
        <v>578</v>
      </c>
      <c r="F110" s="162" t="s">
        <v>218</v>
      </c>
      <c r="G110" s="162" t="s">
        <v>579</v>
      </c>
      <c r="H110" s="162" t="s">
        <v>316</v>
      </c>
      <c r="I110" s="162" t="s">
        <v>580</v>
      </c>
      <c r="J110" s="162" t="s">
        <v>581</v>
      </c>
      <c r="L110" s="122" t="s">
        <v>547</v>
      </c>
      <c r="M110" s="122" t="s">
        <v>337</v>
      </c>
      <c r="N110" s="162" t="s">
        <v>578</v>
      </c>
      <c r="O110" s="162" t="s">
        <v>218</v>
      </c>
      <c r="P110" s="162" t="s">
        <v>579</v>
      </c>
      <c r="Q110" s="162" t="s">
        <v>316</v>
      </c>
      <c r="R110" s="162" t="s">
        <v>580</v>
      </c>
      <c r="S110" s="162" t="s">
        <v>581</v>
      </c>
    </row>
    <row r="111" spans="2:30" x14ac:dyDescent="0.25">
      <c r="B111" s="123" t="s">
        <v>588</v>
      </c>
      <c r="C111" s="11" t="s">
        <v>589</v>
      </c>
      <c r="D111" s="15">
        <f>SUM(E111:J111)</f>
        <v>2.4556661462789997E-4</v>
      </c>
      <c r="E111" s="178">
        <f>D119</f>
        <v>1.7779829999999997E-4</v>
      </c>
      <c r="F111" s="178">
        <v>6.5772000000000007E-5</v>
      </c>
      <c r="G111" s="178">
        <v>1.3724999999999999E-7</v>
      </c>
      <c r="H111" s="178">
        <v>4.6278999999999997E-12</v>
      </c>
      <c r="I111" s="178">
        <v>7.3015999999999997E-7</v>
      </c>
      <c r="J111" s="178">
        <v>1.1288999999999999E-6</v>
      </c>
      <c r="L111" s="123" t="s">
        <v>588</v>
      </c>
      <c r="M111" s="11" t="s">
        <v>29</v>
      </c>
      <c r="N111" s="180">
        <f t="shared" ref="N111:S114" si="92">E111/$D111</f>
        <v>0.72403286688384993</v>
      </c>
      <c r="O111" s="180">
        <f t="shared" si="92"/>
        <v>0.26783771116306843</v>
      </c>
      <c r="P111" s="180">
        <f t="shared" si="92"/>
        <v>5.5891147991745933E-4</v>
      </c>
      <c r="Q111" s="180">
        <f t="shared" si="92"/>
        <v>1.8845802826302443E-8</v>
      </c>
      <c r="R111" s="180">
        <f t="shared" si="92"/>
        <v>2.9733683510129844E-3</v>
      </c>
      <c r="S111" s="180">
        <f t="shared" si="92"/>
        <v>4.5971232763484145E-3</v>
      </c>
    </row>
    <row r="112" spans="2:30" ht="17.25" x14ac:dyDescent="0.25">
      <c r="B112" s="123" t="s">
        <v>590</v>
      </c>
      <c r="C112" s="11" t="s">
        <v>591</v>
      </c>
      <c r="D112" s="15">
        <f>SUM(E112:J112)</f>
        <v>133.42922561340001</v>
      </c>
      <c r="E112" s="178">
        <f t="shared" ref="E112:E114" si="93">D120</f>
        <v>113.65049814000001</v>
      </c>
      <c r="F112" s="178">
        <v>19.578203899999998</v>
      </c>
      <c r="G112" s="178">
        <v>2.5783400000000001E-3</v>
      </c>
      <c r="H112" s="178">
        <v>7.1134000000000004E-6</v>
      </c>
      <c r="I112" s="178">
        <v>3.5251360000000002E-2</v>
      </c>
      <c r="J112" s="178">
        <v>0.16268676000000001</v>
      </c>
      <c r="L112" s="123" t="s">
        <v>590</v>
      </c>
      <c r="M112" s="11" t="s">
        <v>29</v>
      </c>
      <c r="N112" s="180">
        <f t="shared" si="92"/>
        <v>0.85176615256160448</v>
      </c>
      <c r="O112" s="180">
        <f t="shared" si="92"/>
        <v>0.14673100147284227</v>
      </c>
      <c r="P112" s="180">
        <f t="shared" si="92"/>
        <v>1.9323652581710429E-5</v>
      </c>
      <c r="Q112" s="180">
        <f t="shared" si="92"/>
        <v>5.3312158316877896E-8</v>
      </c>
      <c r="R112" s="180">
        <f t="shared" si="92"/>
        <v>2.6419519290427318E-4</v>
      </c>
      <c r="S112" s="180">
        <f t="shared" si="92"/>
        <v>1.2192738079090054E-3</v>
      </c>
    </row>
    <row r="113" spans="2:30" s="192" customFormat="1" ht="18" x14ac:dyDescent="0.25">
      <c r="B113" s="171" t="s">
        <v>592</v>
      </c>
      <c r="C113" s="161" t="s">
        <v>573</v>
      </c>
      <c r="D113" s="185">
        <f>SUM(E113:J113)</f>
        <v>325.74502739454198</v>
      </c>
      <c r="E113" s="186">
        <f t="shared" si="93"/>
        <v>267.33180666999999</v>
      </c>
      <c r="F113" s="186">
        <v>48.431099799999998</v>
      </c>
      <c r="G113" s="186">
        <v>2.1249600000000002</v>
      </c>
      <c r="H113" s="186">
        <v>4.5420999999999999E-9</v>
      </c>
      <c r="I113" s="186">
        <v>6.68803503</v>
      </c>
      <c r="J113" s="186">
        <v>1.1691258899999999</v>
      </c>
      <c r="K113" s="128"/>
      <c r="L113" s="171" t="s">
        <v>592</v>
      </c>
      <c r="M113" s="161" t="s">
        <v>29</v>
      </c>
      <c r="N113" s="191">
        <f t="shared" si="92"/>
        <v>0.82067808926583563</v>
      </c>
      <c r="O113" s="191">
        <f t="shared" si="92"/>
        <v>0.14867794049651081</v>
      </c>
      <c r="P113" s="191">
        <f t="shared" si="92"/>
        <v>6.5233843076482369E-3</v>
      </c>
      <c r="Q113" s="191">
        <f t="shared" si="92"/>
        <v>1.3943727817826714E-11</v>
      </c>
      <c r="R113" s="191">
        <f t="shared" si="92"/>
        <v>2.0531503070036001E-2</v>
      </c>
      <c r="S113" s="191">
        <f t="shared" si="92"/>
        <v>3.5890828460259381E-3</v>
      </c>
      <c r="AD113" s="193"/>
    </row>
    <row r="114" spans="2:30" x14ac:dyDescent="0.25">
      <c r="B114" s="123" t="s">
        <v>593</v>
      </c>
      <c r="C114" s="11" t="s">
        <v>575</v>
      </c>
      <c r="D114" s="15">
        <f>SUM(E114:J114)</f>
        <v>5485.5989115099992</v>
      </c>
      <c r="E114" s="178">
        <f t="shared" si="93"/>
        <v>4761.5657782999997</v>
      </c>
      <c r="F114" s="178">
        <v>562.102486</v>
      </c>
      <c r="G114" s="178">
        <v>24.7912</v>
      </c>
      <c r="H114" s="178">
        <v>0.41173841</v>
      </c>
      <c r="I114" s="178">
        <v>112.90541899999999</v>
      </c>
      <c r="J114" s="178">
        <v>23.8222898</v>
      </c>
      <c r="L114" s="123" t="s">
        <v>593</v>
      </c>
      <c r="M114" s="11" t="s">
        <v>29</v>
      </c>
      <c r="N114" s="180">
        <f t="shared" si="92"/>
        <v>0.8680120174862187</v>
      </c>
      <c r="O114" s="180">
        <f t="shared" si="92"/>
        <v>0.10246875410824964</v>
      </c>
      <c r="P114" s="180">
        <f t="shared" si="92"/>
        <v>4.5193242159908154E-3</v>
      </c>
      <c r="Q114" s="180">
        <f t="shared" si="92"/>
        <v>7.5058059592377743E-5</v>
      </c>
      <c r="R114" s="180">
        <f t="shared" si="92"/>
        <v>2.0582149883962435E-2</v>
      </c>
      <c r="S114" s="180">
        <f t="shared" si="92"/>
        <v>4.3426962459861161E-3</v>
      </c>
    </row>
    <row r="116" spans="2:30" x14ac:dyDescent="0.25">
      <c r="B116" s="283" t="s">
        <v>648</v>
      </c>
      <c r="C116" s="284"/>
      <c r="D116" s="284"/>
      <c r="E116" s="284"/>
      <c r="F116" s="284"/>
      <c r="G116" s="284"/>
      <c r="H116" s="284"/>
      <c r="I116" s="284"/>
      <c r="J116" s="284"/>
      <c r="K116" s="285"/>
    </row>
    <row r="118" spans="2:30" ht="28.5" customHeight="1" x14ac:dyDescent="0.25">
      <c r="B118" s="162" t="s">
        <v>547</v>
      </c>
      <c r="C118" s="162" t="s">
        <v>337</v>
      </c>
      <c r="D118" s="162" t="s">
        <v>213</v>
      </c>
      <c r="E118" s="162" t="s">
        <v>583</v>
      </c>
      <c r="F118" s="162" t="s">
        <v>581</v>
      </c>
      <c r="H118" s="122" t="s">
        <v>547</v>
      </c>
      <c r="I118" s="122" t="s">
        <v>337</v>
      </c>
      <c r="J118" s="162" t="s">
        <v>583</v>
      </c>
      <c r="K118" s="162" t="s">
        <v>581</v>
      </c>
    </row>
    <row r="119" spans="2:30" x14ac:dyDescent="0.25">
      <c r="B119" s="123" t="s">
        <v>588</v>
      </c>
      <c r="C119" s="11" t="s">
        <v>589</v>
      </c>
      <c r="D119" s="15">
        <f>SUM(E119:F119)</f>
        <v>1.7779829999999997E-4</v>
      </c>
      <c r="E119" s="178">
        <f>D127</f>
        <v>1.7500049999999998E-4</v>
      </c>
      <c r="F119" s="178">
        <v>2.7978000000000001E-6</v>
      </c>
      <c r="H119" s="123" t="s">
        <v>588</v>
      </c>
      <c r="I119" s="11" t="s">
        <v>29</v>
      </c>
      <c r="J119" s="180">
        <f>E119/$D119</f>
        <v>0.98426419150239342</v>
      </c>
      <c r="K119" s="180">
        <f>F119/$D119</f>
        <v>1.5735808497606561E-2</v>
      </c>
    </row>
    <row r="120" spans="2:30" ht="17.25" x14ac:dyDescent="0.25">
      <c r="B120" s="123" t="s">
        <v>590</v>
      </c>
      <c r="C120" s="11" t="s">
        <v>591</v>
      </c>
      <c r="D120" s="15">
        <f t="shared" ref="D120:D122" si="94">SUM(E120:F120)</f>
        <v>113.65049814000001</v>
      </c>
      <c r="E120" s="178">
        <f t="shared" ref="E120:E122" si="95">D128</f>
        <v>113.24728975000001</v>
      </c>
      <c r="F120" s="178">
        <v>0.40320839000000003</v>
      </c>
      <c r="H120" s="123" t="s">
        <v>590</v>
      </c>
      <c r="I120" s="11" t="s">
        <v>29</v>
      </c>
      <c r="J120" s="180">
        <f t="shared" ref="J120:K122" si="96">E120/$D120</f>
        <v>0.99645220745532226</v>
      </c>
      <c r="K120" s="180">
        <f t="shared" si="96"/>
        <v>3.5477925446777102E-3</v>
      </c>
    </row>
    <row r="121" spans="2:30" s="192" customFormat="1" ht="18" x14ac:dyDescent="0.25">
      <c r="B121" s="171" t="s">
        <v>592</v>
      </c>
      <c r="C121" s="161" t="s">
        <v>573</v>
      </c>
      <c r="D121" s="185">
        <f t="shared" si="94"/>
        <v>267.33180666999999</v>
      </c>
      <c r="E121" s="186">
        <f t="shared" si="95"/>
        <v>264.43420534000001</v>
      </c>
      <c r="F121" s="186">
        <v>2.8976013300000001</v>
      </c>
      <c r="H121" s="171" t="s">
        <v>592</v>
      </c>
      <c r="I121" s="161" t="s">
        <v>29</v>
      </c>
      <c r="J121" s="191">
        <f t="shared" si="96"/>
        <v>0.9891610303835755</v>
      </c>
      <c r="K121" s="191">
        <f t="shared" si="96"/>
        <v>1.0838969616424506E-2</v>
      </c>
      <c r="AD121" s="193"/>
    </row>
    <row r="122" spans="2:30" x14ac:dyDescent="0.25">
      <c r="B122" s="123" t="s">
        <v>593</v>
      </c>
      <c r="C122" s="11" t="s">
        <v>575</v>
      </c>
      <c r="D122" s="15">
        <f t="shared" si="94"/>
        <v>4761.5657782999997</v>
      </c>
      <c r="E122" s="178">
        <f t="shared" si="95"/>
        <v>4702.5238061</v>
      </c>
      <c r="F122" s="178">
        <v>59.041972199999996</v>
      </c>
      <c r="H122" s="123" t="s">
        <v>593</v>
      </c>
      <c r="I122" s="11" t="s">
        <v>29</v>
      </c>
      <c r="J122" s="180">
        <f t="shared" si="96"/>
        <v>0.98760030314627323</v>
      </c>
      <c r="K122" s="180">
        <f t="shared" si="96"/>
        <v>1.239969685372686E-2</v>
      </c>
    </row>
    <row r="124" spans="2:30" x14ac:dyDescent="0.25">
      <c r="B124" s="282" t="s">
        <v>649</v>
      </c>
      <c r="C124" s="282"/>
      <c r="D124" s="282"/>
      <c r="E124" s="282"/>
      <c r="F124" s="282"/>
      <c r="G124" s="282"/>
      <c r="H124" s="282"/>
      <c r="I124" s="282"/>
      <c r="J124" s="282"/>
      <c r="K124" s="282"/>
      <c r="L124" s="282"/>
      <c r="M124" s="282"/>
    </row>
    <row r="126" spans="2:30" ht="28.5" customHeight="1" x14ac:dyDescent="0.25">
      <c r="B126" s="162" t="s">
        <v>547</v>
      </c>
      <c r="C126" s="162" t="s">
        <v>337</v>
      </c>
      <c r="D126" s="162" t="s">
        <v>213</v>
      </c>
      <c r="E126" s="162" t="s">
        <v>584</v>
      </c>
      <c r="F126" s="162" t="s">
        <v>581</v>
      </c>
      <c r="G126" s="162" t="s">
        <v>335</v>
      </c>
      <c r="I126" s="122" t="s">
        <v>547</v>
      </c>
      <c r="J126" s="122" t="s">
        <v>337</v>
      </c>
      <c r="K126" s="162" t="s">
        <v>584</v>
      </c>
      <c r="L126" s="162" t="s">
        <v>581</v>
      </c>
      <c r="M126" s="162" t="s">
        <v>335</v>
      </c>
    </row>
    <row r="127" spans="2:30" x14ac:dyDescent="0.25">
      <c r="B127" s="123" t="s">
        <v>588</v>
      </c>
      <c r="C127" s="11" t="s">
        <v>589</v>
      </c>
      <c r="D127" s="15">
        <f>SUM(E127:G127)</f>
        <v>1.7500049999999998E-4</v>
      </c>
      <c r="E127" s="178">
        <f>D135</f>
        <v>1.7492349999999999E-4</v>
      </c>
      <c r="F127" s="178">
        <v>1.3208E-5</v>
      </c>
      <c r="G127" s="178">
        <v>-1.3131E-5</v>
      </c>
      <c r="H127" s="179">
        <f>SUM(E127:F127)</f>
        <v>1.8813149999999997E-4</v>
      </c>
      <c r="I127" s="123" t="s">
        <v>588</v>
      </c>
      <c r="J127" s="11" t="s">
        <v>29</v>
      </c>
      <c r="K127" s="180">
        <f>E127/$H127</f>
        <v>0.929793787855835</v>
      </c>
      <c r="L127" s="180">
        <f t="shared" ref="L127:M130" si="97">F127/$H127</f>
        <v>7.0206212144165128E-2</v>
      </c>
      <c r="M127" s="180">
        <f t="shared" si="97"/>
        <v>-6.9796923960102383E-2</v>
      </c>
    </row>
    <row r="128" spans="2:30" ht="17.25" x14ac:dyDescent="0.25">
      <c r="B128" s="123" t="s">
        <v>590</v>
      </c>
      <c r="C128" s="11" t="s">
        <v>591</v>
      </c>
      <c r="D128" s="15">
        <f t="shared" ref="D128:D130" si="98">SUM(E128:G128)</f>
        <v>113.24728975000001</v>
      </c>
      <c r="E128" s="178">
        <f t="shared" ref="E128:E130" si="99">D136</f>
        <v>112.06380123000001</v>
      </c>
      <c r="F128" s="178">
        <v>1.9035418399999999</v>
      </c>
      <c r="G128" s="178">
        <v>-0.72005332</v>
      </c>
      <c r="H128" s="179">
        <f t="shared" ref="H128:H130" si="100">SUM(E128:F128)</f>
        <v>113.96734307000001</v>
      </c>
      <c r="I128" s="123" t="s">
        <v>590</v>
      </c>
      <c r="J128" s="11" t="s">
        <v>29</v>
      </c>
      <c r="K128" s="180">
        <f t="shared" ref="K128:K130" si="101">E128/$H128</f>
        <v>0.98329747988570004</v>
      </c>
      <c r="L128" s="180">
        <f t="shared" si="97"/>
        <v>1.6702520114299964E-2</v>
      </c>
      <c r="M128" s="180">
        <f t="shared" si="97"/>
        <v>-6.3180670936387037E-3</v>
      </c>
    </row>
    <row r="129" spans="2:30" s="192" customFormat="1" ht="18" x14ac:dyDescent="0.25">
      <c r="B129" s="171" t="s">
        <v>592</v>
      </c>
      <c r="C129" s="161" t="s">
        <v>573</v>
      </c>
      <c r="D129" s="185">
        <f t="shared" si="98"/>
        <v>264.43420534000001</v>
      </c>
      <c r="E129" s="186">
        <f t="shared" si="99"/>
        <v>257.81548846999999</v>
      </c>
      <c r="F129" s="186">
        <v>13.679540100000001</v>
      </c>
      <c r="G129" s="186">
        <v>-7.0608232299999996</v>
      </c>
      <c r="H129" s="179">
        <f t="shared" si="100"/>
        <v>271.49502856999999</v>
      </c>
      <c r="I129" s="171" t="s">
        <v>592</v>
      </c>
      <c r="J129" s="161" t="s">
        <v>29</v>
      </c>
      <c r="K129" s="191">
        <f t="shared" si="101"/>
        <v>0.94961403097488772</v>
      </c>
      <c r="L129" s="191">
        <f t="shared" si="97"/>
        <v>5.0385969025112311E-2</v>
      </c>
      <c r="M129" s="191">
        <f t="shared" si="97"/>
        <v>-2.6007191613011418E-2</v>
      </c>
      <c r="AD129" s="193"/>
    </row>
    <row r="130" spans="2:30" x14ac:dyDescent="0.25">
      <c r="B130" s="123" t="s">
        <v>593</v>
      </c>
      <c r="C130" s="11" t="s">
        <v>575</v>
      </c>
      <c r="D130" s="15">
        <f t="shared" si="98"/>
        <v>4702.5238061</v>
      </c>
      <c r="E130" s="178">
        <f t="shared" si="99"/>
        <v>4516.4977018</v>
      </c>
      <c r="F130" s="178">
        <v>278.73642100000001</v>
      </c>
      <c r="G130" s="178">
        <v>-92.710316700000007</v>
      </c>
      <c r="H130" s="179">
        <f t="shared" si="100"/>
        <v>4795.2341227999996</v>
      </c>
      <c r="I130" s="123" t="s">
        <v>593</v>
      </c>
      <c r="J130" s="11" t="s">
        <v>29</v>
      </c>
      <c r="K130" s="180">
        <f t="shared" si="101"/>
        <v>0.94187219771508424</v>
      </c>
      <c r="L130" s="180">
        <f t="shared" si="97"/>
        <v>5.8127802284915799E-2</v>
      </c>
      <c r="M130" s="180">
        <f t="shared" si="97"/>
        <v>-1.9333845715517484E-2</v>
      </c>
    </row>
    <row r="132" spans="2:30" x14ac:dyDescent="0.25">
      <c r="B132" s="282" t="s">
        <v>650</v>
      </c>
      <c r="C132" s="282"/>
      <c r="D132" s="282"/>
      <c r="E132" s="282"/>
      <c r="F132" s="282"/>
      <c r="G132" s="282"/>
      <c r="H132" s="282"/>
      <c r="I132" s="282"/>
      <c r="J132" s="282"/>
      <c r="K132" s="282"/>
      <c r="L132" s="282"/>
      <c r="M132" s="282"/>
      <c r="N132" s="282"/>
      <c r="O132" s="282"/>
      <c r="P132" s="282"/>
      <c r="Q132" s="282"/>
    </row>
    <row r="134" spans="2:30" ht="27.95" customHeight="1" x14ac:dyDescent="0.25">
      <c r="B134" s="162" t="s">
        <v>547</v>
      </c>
      <c r="C134" s="162" t="s">
        <v>337</v>
      </c>
      <c r="D134" s="162" t="s">
        <v>213</v>
      </c>
      <c r="E134" s="162" t="s">
        <v>596</v>
      </c>
      <c r="F134" s="162" t="s">
        <v>585</v>
      </c>
      <c r="G134" s="162" t="s">
        <v>586</v>
      </c>
      <c r="H134" s="162" t="s">
        <v>209</v>
      </c>
      <c r="I134" s="162" t="s">
        <v>587</v>
      </c>
      <c r="J134" s="162" t="s">
        <v>581</v>
      </c>
      <c r="L134" s="122" t="s">
        <v>547</v>
      </c>
      <c r="M134" s="122" t="s">
        <v>337</v>
      </c>
      <c r="N134" s="162" t="s">
        <v>596</v>
      </c>
      <c r="O134" s="162" t="s">
        <v>585</v>
      </c>
      <c r="P134" s="162" t="s">
        <v>586</v>
      </c>
      <c r="Q134" s="162" t="s">
        <v>209</v>
      </c>
      <c r="R134" s="162" t="s">
        <v>587</v>
      </c>
      <c r="S134" s="162" t="s">
        <v>581</v>
      </c>
    </row>
    <row r="135" spans="2:30" x14ac:dyDescent="0.25">
      <c r="B135" s="123" t="s">
        <v>588</v>
      </c>
      <c r="C135" s="11" t="s">
        <v>589</v>
      </c>
      <c r="D135" s="15">
        <f>SUM(F135:J135)</f>
        <v>1.7492349999999999E-4</v>
      </c>
      <c r="E135" s="178">
        <v>0</v>
      </c>
      <c r="F135" s="178">
        <v>8.9400000000000005E-5</v>
      </c>
      <c r="G135" s="178">
        <v>2.2099999999999998E-5</v>
      </c>
      <c r="H135" s="178">
        <v>1.7215999999999999E-5</v>
      </c>
      <c r="I135" s="178">
        <v>3.7125E-6</v>
      </c>
      <c r="J135" s="178">
        <v>4.2494999999999999E-5</v>
      </c>
      <c r="L135" s="123" t="s">
        <v>588</v>
      </c>
      <c r="M135" s="11" t="s">
        <v>29</v>
      </c>
      <c r="N135" s="180">
        <f t="shared" ref="N135:S138" si="102">E135/$D135</f>
        <v>0</v>
      </c>
      <c r="O135" s="180">
        <f t="shared" si="102"/>
        <v>0.51108055807252895</v>
      </c>
      <c r="P135" s="180">
        <f t="shared" si="102"/>
        <v>0.12634094332665421</v>
      </c>
      <c r="Q135" s="180">
        <f t="shared" si="102"/>
        <v>9.8420166529940234E-2</v>
      </c>
      <c r="R135" s="180">
        <f t="shared" si="102"/>
        <v>2.1223563443448137E-2</v>
      </c>
      <c r="S135" s="180">
        <f t="shared" si="102"/>
        <v>0.24293476862742858</v>
      </c>
    </row>
    <row r="136" spans="2:30" ht="17.25" x14ac:dyDescent="0.25">
      <c r="B136" s="123" t="s">
        <v>590</v>
      </c>
      <c r="C136" s="11" t="s">
        <v>591</v>
      </c>
      <c r="D136" s="15">
        <f>SUM(F136:J136)</f>
        <v>112.06380123000001</v>
      </c>
      <c r="E136" s="178">
        <v>0</v>
      </c>
      <c r="F136" s="178">
        <v>99.1</v>
      </c>
      <c r="G136" s="178">
        <v>3.18</v>
      </c>
      <c r="H136" s="178">
        <v>3.2111974399999998</v>
      </c>
      <c r="I136" s="178">
        <v>0.44843630000000001</v>
      </c>
      <c r="J136" s="178">
        <v>6.1241674899999996</v>
      </c>
      <c r="L136" s="123" t="s">
        <v>590</v>
      </c>
      <c r="M136" s="11" t="s">
        <v>29</v>
      </c>
      <c r="N136" s="180">
        <f t="shared" si="102"/>
        <v>0</v>
      </c>
      <c r="O136" s="180">
        <f t="shared" si="102"/>
        <v>0.88431767361350633</v>
      </c>
      <c r="P136" s="180">
        <f t="shared" si="102"/>
        <v>2.8376692251170035E-2</v>
      </c>
      <c r="Q136" s="180">
        <f t="shared" si="102"/>
        <v>2.8655082236674539E-2</v>
      </c>
      <c r="R136" s="180">
        <f t="shared" si="102"/>
        <v>4.0016159997966544E-3</v>
      </c>
      <c r="S136" s="180">
        <f t="shared" si="102"/>
        <v>5.4648935898852329E-2</v>
      </c>
    </row>
    <row r="137" spans="2:30" s="192" customFormat="1" ht="18" x14ac:dyDescent="0.25">
      <c r="B137" s="171" t="s">
        <v>592</v>
      </c>
      <c r="C137" s="161" t="s">
        <v>573</v>
      </c>
      <c r="D137" s="185">
        <f>SUM(F137:J137)</f>
        <v>257.81548846999999</v>
      </c>
      <c r="E137" s="186">
        <v>0</v>
      </c>
      <c r="F137" s="186">
        <v>173</v>
      </c>
      <c r="G137" s="186">
        <v>22.9</v>
      </c>
      <c r="H137" s="186">
        <v>15.9121243</v>
      </c>
      <c r="I137" s="186">
        <v>1.99288157</v>
      </c>
      <c r="J137" s="186">
        <v>44.010482600000003</v>
      </c>
      <c r="L137" s="171" t="s">
        <v>592</v>
      </c>
      <c r="M137" s="161" t="s">
        <v>29</v>
      </c>
      <c r="N137" s="191">
        <f t="shared" si="102"/>
        <v>0</v>
      </c>
      <c r="O137" s="191">
        <f t="shared" si="102"/>
        <v>0.67102252477795055</v>
      </c>
      <c r="P137" s="191">
        <f t="shared" si="102"/>
        <v>8.8823212817428138E-2</v>
      </c>
      <c r="Q137" s="191">
        <f t="shared" si="102"/>
        <v>6.1719039435644968E-2</v>
      </c>
      <c r="R137" s="191">
        <f t="shared" si="102"/>
        <v>7.7298752756349478E-3</v>
      </c>
      <c r="S137" s="191">
        <f t="shared" si="102"/>
        <v>0.17070534769334142</v>
      </c>
      <c r="AD137" s="193"/>
    </row>
    <row r="138" spans="2:30" x14ac:dyDescent="0.25">
      <c r="B138" s="123" t="s">
        <v>593</v>
      </c>
      <c r="C138" s="11" t="s">
        <v>575</v>
      </c>
      <c r="D138" s="15">
        <f>SUM(F138:J138)</f>
        <v>4516.4977018</v>
      </c>
      <c r="E138" s="178">
        <v>0</v>
      </c>
      <c r="F138" s="178">
        <v>2840</v>
      </c>
      <c r="G138" s="178">
        <v>466</v>
      </c>
      <c r="H138" s="178">
        <v>283.53177699999998</v>
      </c>
      <c r="I138" s="178">
        <v>30.201531800000001</v>
      </c>
      <c r="J138" s="178">
        <v>896.76439300000004</v>
      </c>
      <c r="L138" s="123" t="s">
        <v>593</v>
      </c>
      <c r="M138" s="11" t="s">
        <v>29</v>
      </c>
      <c r="N138" s="180">
        <f t="shared" si="102"/>
        <v>0</v>
      </c>
      <c r="O138" s="180">
        <f t="shared" si="102"/>
        <v>0.62880581094243659</v>
      </c>
      <c r="P138" s="180">
        <f t="shared" si="102"/>
        <v>0.10317729151379416</v>
      </c>
      <c r="Q138" s="180">
        <f t="shared" si="102"/>
        <v>6.2776911607195451E-2</v>
      </c>
      <c r="R138" s="180">
        <f t="shared" si="102"/>
        <v>6.6869361602826718E-3</v>
      </c>
      <c r="S138" s="180">
        <f t="shared" si="102"/>
        <v>0.19855304977629115</v>
      </c>
    </row>
  </sheetData>
  <mergeCells count="52">
    <mergeCell ref="B124:M124"/>
    <mergeCell ref="B132:Q132"/>
    <mergeCell ref="B78:Q78"/>
    <mergeCell ref="AE78:AE79"/>
    <mergeCell ref="AM78:AM79"/>
    <mergeCell ref="B100:S100"/>
    <mergeCell ref="B108:Y108"/>
    <mergeCell ref="B116:K116"/>
    <mergeCell ref="AE69:AE70"/>
    <mergeCell ref="AM69:AM70"/>
    <mergeCell ref="AE72:AE73"/>
    <mergeCell ref="AM72:AM73"/>
    <mergeCell ref="AE75:AE76"/>
    <mergeCell ref="AM75:AM76"/>
    <mergeCell ref="B59:M59"/>
    <mergeCell ref="AE60:AE61"/>
    <mergeCell ref="AM60:AM61"/>
    <mergeCell ref="AE63:AE64"/>
    <mergeCell ref="AM63:AM64"/>
    <mergeCell ref="AE66:AE67"/>
    <mergeCell ref="AM66:AM67"/>
    <mergeCell ref="AE51:AE52"/>
    <mergeCell ref="AM51:AM52"/>
    <mergeCell ref="AE54:AE55"/>
    <mergeCell ref="AM54:AM55"/>
    <mergeCell ref="AE57:AE58"/>
    <mergeCell ref="AM57:AM58"/>
    <mergeCell ref="AE42:AE43"/>
    <mergeCell ref="AM42:AM43"/>
    <mergeCell ref="AE45:AE46"/>
    <mergeCell ref="AM45:AM46"/>
    <mergeCell ref="AE48:AE49"/>
    <mergeCell ref="AM48:AM49"/>
    <mergeCell ref="AN33:AQ33"/>
    <mergeCell ref="AE36:AE37"/>
    <mergeCell ref="AM36:AM37"/>
    <mergeCell ref="AE39:AE40"/>
    <mergeCell ref="AM39:AM40"/>
    <mergeCell ref="B40:K40"/>
    <mergeCell ref="AE11:AE12"/>
    <mergeCell ref="AM11:AM12"/>
    <mergeCell ref="AE14:AE15"/>
    <mergeCell ref="AM14:AM15"/>
    <mergeCell ref="B21:Y21"/>
    <mergeCell ref="AF33:AJ33"/>
    <mergeCell ref="AE8:AE9"/>
    <mergeCell ref="AM8:AM9"/>
    <mergeCell ref="B2:S2"/>
    <mergeCell ref="AF2:AJ2"/>
    <mergeCell ref="AN2:AQ2"/>
    <mergeCell ref="AE5:AE6"/>
    <mergeCell ref="AM5:AM6"/>
  </mergeCell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55"/>
  <sheetViews>
    <sheetView zoomScale="80" zoomScaleNormal="80" workbookViewId="0">
      <selection activeCell="J32" sqref="J32:K32"/>
    </sheetView>
  </sheetViews>
  <sheetFormatPr defaultColWidth="10.85546875" defaultRowHeight="15" x14ac:dyDescent="0.25"/>
  <cols>
    <col min="1" max="1" width="13.5703125" style="128" bestFit="1" customWidth="1"/>
    <col min="2" max="2" width="23.85546875" style="128" bestFit="1" customWidth="1"/>
    <col min="3" max="3" width="12.140625" style="128" bestFit="1" customWidth="1"/>
    <col min="4" max="7" width="10.85546875" style="128"/>
    <col min="8" max="8" width="13.140625" style="128" bestFit="1" customWidth="1"/>
    <col min="9" max="9" width="13.140625" style="128" customWidth="1"/>
    <col min="10" max="16384" width="10.85546875" style="128"/>
  </cols>
  <sheetData>
    <row r="1" spans="1:12" x14ac:dyDescent="0.25">
      <c r="A1" s="175" t="s">
        <v>611</v>
      </c>
      <c r="D1" s="195" t="s">
        <v>636</v>
      </c>
      <c r="E1" s="195" t="s">
        <v>637</v>
      </c>
      <c r="F1" s="195"/>
      <c r="J1" s="195" t="s">
        <v>636</v>
      </c>
      <c r="K1" s="195" t="s">
        <v>637</v>
      </c>
      <c r="L1" s="195"/>
    </row>
    <row r="2" spans="1:12" ht="30" customHeight="1" x14ac:dyDescent="0.25">
      <c r="B2" s="162" t="s">
        <v>612</v>
      </c>
      <c r="C2" s="162" t="s">
        <v>337</v>
      </c>
      <c r="D2" s="162" t="s">
        <v>631</v>
      </c>
      <c r="E2" s="162" t="s">
        <v>632</v>
      </c>
      <c r="F2" s="162" t="s">
        <v>633</v>
      </c>
      <c r="H2" s="288" t="s">
        <v>601</v>
      </c>
      <c r="I2" s="289"/>
      <c r="J2" s="162" t="s">
        <v>631</v>
      </c>
      <c r="K2" s="162" t="s">
        <v>632</v>
      </c>
      <c r="L2" s="162" t="s">
        <v>633</v>
      </c>
    </row>
    <row r="3" spans="1:12" ht="18" x14ac:dyDescent="0.25">
      <c r="B3" s="123" t="s">
        <v>550</v>
      </c>
      <c r="C3" s="11" t="s">
        <v>551</v>
      </c>
      <c r="D3" s="15">
        <f>'Results Flue gas - MEA (GF)'!D24</f>
        <v>5.0403268846299998</v>
      </c>
      <c r="E3" s="15">
        <f>'Results Biogas - MEA (GF)'!D24</f>
        <v>6.5223268846299991</v>
      </c>
      <c r="F3" s="15">
        <f>'Results SimaPro (GF)'!D24</f>
        <v>5.1456721646299997</v>
      </c>
      <c r="H3" s="15">
        <f>MAX(D3:F3)</f>
        <v>6.5223268846299991</v>
      </c>
      <c r="I3" s="15" t="s">
        <v>634</v>
      </c>
      <c r="J3" s="180">
        <f>D3/$H3</f>
        <v>0.77278047754822543</v>
      </c>
      <c r="K3" s="180">
        <f t="shared" ref="K3:L17" si="0">E3/$H3</f>
        <v>1</v>
      </c>
      <c r="L3" s="180">
        <f t="shared" si="0"/>
        <v>0.78893196487221218</v>
      </c>
    </row>
    <row r="4" spans="1:12" ht="18" x14ac:dyDescent="0.25">
      <c r="B4" s="123" t="s">
        <v>552</v>
      </c>
      <c r="C4" s="11" t="s">
        <v>551</v>
      </c>
      <c r="D4" s="15">
        <f>'Results Flue gas - MEA (GF)'!D25</f>
        <v>8.6184906533200003</v>
      </c>
      <c r="E4" s="15">
        <f>'Results Biogas - MEA (GF)'!D25</f>
        <v>8.6264906533199994</v>
      </c>
      <c r="F4" s="15">
        <f>'Results SimaPro (GF)'!D25</f>
        <v>8.7811060833199992</v>
      </c>
      <c r="H4" s="15">
        <f t="shared" ref="H4:H17" si="1">MAX(D4:F4)</f>
        <v>8.7811060833199992</v>
      </c>
      <c r="I4" s="15" t="s">
        <v>633</v>
      </c>
      <c r="J4" s="180">
        <f t="shared" ref="J4:J16" si="2">D4/$H4</f>
        <v>0.98148121336230154</v>
      </c>
      <c r="K4" s="180">
        <f t="shared" si="0"/>
        <v>0.98239226032200011</v>
      </c>
      <c r="L4" s="180">
        <f t="shared" si="0"/>
        <v>1</v>
      </c>
    </row>
    <row r="5" spans="1:12" x14ac:dyDescent="0.25">
      <c r="B5" s="123" t="s">
        <v>553</v>
      </c>
      <c r="C5" s="11" t="s">
        <v>554</v>
      </c>
      <c r="D5" s="15">
        <f>'Results Flue gas - MEA (GF)'!D26</f>
        <v>0.33974626421149995</v>
      </c>
      <c r="E5" s="15">
        <f>'Results Biogas - MEA (GF)'!D26</f>
        <v>0.34024626421149995</v>
      </c>
      <c r="F5" s="15">
        <f>'Results SimaPro (GF)'!D26</f>
        <v>0.33162742421149999</v>
      </c>
      <c r="H5" s="15">
        <f t="shared" si="1"/>
        <v>0.34024626421149995</v>
      </c>
      <c r="I5" s="15" t="s">
        <v>635</v>
      </c>
      <c r="J5" s="180">
        <f t="shared" si="2"/>
        <v>0.99853047615038859</v>
      </c>
      <c r="K5" s="180">
        <f t="shared" si="0"/>
        <v>1</v>
      </c>
      <c r="L5" s="180">
        <f t="shared" si="0"/>
        <v>0.97466881812802975</v>
      </c>
    </row>
    <row r="6" spans="1:12" x14ac:dyDescent="0.25">
      <c r="B6" s="123" t="s">
        <v>555</v>
      </c>
      <c r="C6" s="11" t="s">
        <v>556</v>
      </c>
      <c r="D6" s="15">
        <f>'Results Flue gas - MEA (GF)'!D27</f>
        <v>10101.771254650001</v>
      </c>
      <c r="E6" s="15">
        <f>'Results Biogas - MEA (GF)'!D27</f>
        <v>8841.7712546499988</v>
      </c>
      <c r="F6" s="15">
        <f>'Results SimaPro (GF)'!D27</f>
        <v>9671.7412318499992</v>
      </c>
      <c r="H6" s="15">
        <f t="shared" si="1"/>
        <v>10101.771254650001</v>
      </c>
      <c r="I6" s="15" t="s">
        <v>635</v>
      </c>
      <c r="J6" s="180">
        <f t="shared" si="2"/>
        <v>1</v>
      </c>
      <c r="K6" s="180">
        <f t="shared" si="0"/>
        <v>0.87526939897594647</v>
      </c>
      <c r="L6" s="180">
        <f t="shared" si="0"/>
        <v>0.95743023555378448</v>
      </c>
    </row>
    <row r="7" spans="1:12" x14ac:dyDescent="0.25">
      <c r="B7" s="123" t="s">
        <v>557</v>
      </c>
      <c r="C7" s="11" t="s">
        <v>558</v>
      </c>
      <c r="D7" s="15">
        <f>'Results Flue gas - MEA (GF)'!D28</f>
        <v>8.0816315200010413E-5</v>
      </c>
      <c r="E7" s="15">
        <f>'Results Biogas - MEA (GF)'!D28</f>
        <v>5.5136315200010402E-5</v>
      </c>
      <c r="F7" s="15">
        <f>'Results SimaPro (GF)'!D28</f>
        <v>5.3426441200010397E-5</v>
      </c>
      <c r="H7" s="15">
        <f t="shared" si="1"/>
        <v>8.0816315200010413E-5</v>
      </c>
      <c r="I7" s="15" t="s">
        <v>635</v>
      </c>
      <c r="J7" s="180">
        <f t="shared" si="2"/>
        <v>1</v>
      </c>
      <c r="K7" s="180">
        <f t="shared" si="0"/>
        <v>0.68224237969220469</v>
      </c>
      <c r="L7" s="180">
        <f t="shared" si="0"/>
        <v>0.66108484490769648</v>
      </c>
    </row>
    <row r="8" spans="1:12" ht="18" x14ac:dyDescent="0.25">
      <c r="B8" s="123" t="s">
        <v>559</v>
      </c>
      <c r="C8" s="11" t="s">
        <v>560</v>
      </c>
      <c r="D8" s="15">
        <f>'Results Flue gas - MEA (GF)'!D29</f>
        <v>0.14690912403400003</v>
      </c>
      <c r="E8" s="15">
        <f>'Results Biogas - MEA (GF)'!D29</f>
        <v>0.13250912403400003</v>
      </c>
      <c r="F8" s="15">
        <f>'Results SimaPro (GF)'!D29</f>
        <v>0.11923509403400001</v>
      </c>
      <c r="H8" s="15">
        <f t="shared" si="1"/>
        <v>0.14690912403400003</v>
      </c>
      <c r="I8" s="15" t="s">
        <v>635</v>
      </c>
      <c r="J8" s="180">
        <f t="shared" si="2"/>
        <v>1</v>
      </c>
      <c r="K8" s="180">
        <f t="shared" si="0"/>
        <v>0.90198022012120005</v>
      </c>
      <c r="L8" s="180">
        <f t="shared" si="0"/>
        <v>0.81162483826671472</v>
      </c>
    </row>
    <row r="9" spans="1:12" x14ac:dyDescent="0.25">
      <c r="B9" s="123" t="s">
        <v>561</v>
      </c>
      <c r="C9" s="11" t="s">
        <v>562</v>
      </c>
      <c r="D9" s="15">
        <f>'Results Flue gas - MEA (GF)'!D30</f>
        <v>31093.3419006392</v>
      </c>
      <c r="E9" s="15">
        <f>'Results Biogas - MEA (GF)'!D30</f>
        <v>37433.341900639214</v>
      </c>
      <c r="F9" s="15">
        <f>'Results SimaPro (GF)'!D30</f>
        <v>28219.7947725392</v>
      </c>
      <c r="H9" s="15">
        <f t="shared" si="1"/>
        <v>37433.341900639214</v>
      </c>
      <c r="I9" s="15" t="s">
        <v>634</v>
      </c>
      <c r="J9" s="180">
        <f t="shared" si="2"/>
        <v>0.83063227384750937</v>
      </c>
      <c r="K9" s="180">
        <f t="shared" si="0"/>
        <v>1</v>
      </c>
      <c r="L9" s="180">
        <f t="shared" si="0"/>
        <v>0.75386789796764897</v>
      </c>
    </row>
    <row r="10" spans="1:12" x14ac:dyDescent="0.25">
      <c r="B10" s="123" t="s">
        <v>563</v>
      </c>
      <c r="C10" s="11" t="s">
        <v>564</v>
      </c>
      <c r="D10" s="15">
        <f>'Results Flue gas - MEA (GF)'!D31</f>
        <v>15503.384438131798</v>
      </c>
      <c r="E10" s="15">
        <f>'Results Biogas - MEA (GF)'!D31</f>
        <v>14903.384438131798</v>
      </c>
      <c r="F10" s="15">
        <f>'Results SimaPro (GF)'!D31</f>
        <v>15180.182959481801</v>
      </c>
      <c r="H10" s="15">
        <f t="shared" si="1"/>
        <v>15503.384438131798</v>
      </c>
      <c r="I10" s="15" t="s">
        <v>635</v>
      </c>
      <c r="J10" s="180">
        <f t="shared" si="2"/>
        <v>1</v>
      </c>
      <c r="K10" s="180">
        <f t="shared" si="0"/>
        <v>0.96129877302634303</v>
      </c>
      <c r="L10" s="180">
        <f t="shared" si="0"/>
        <v>0.9791528436942416</v>
      </c>
    </row>
    <row r="11" spans="1:12" ht="18" x14ac:dyDescent="0.25">
      <c r="B11" s="123" t="s">
        <v>565</v>
      </c>
      <c r="C11" s="11" t="s">
        <v>566</v>
      </c>
      <c r="D11" s="15">
        <f>'Results Flue gas - MEA (GF)'!D32</f>
        <v>5.2818305316699998</v>
      </c>
      <c r="E11" s="15">
        <f>'Results Biogas - MEA (GF)'!D32</f>
        <v>5.2418305316699998</v>
      </c>
      <c r="F11" s="15">
        <f>'Results SimaPro (GF)'!D32</f>
        <v>5.0101798416700003</v>
      </c>
      <c r="H11" s="15">
        <f t="shared" si="1"/>
        <v>5.2818305316699998</v>
      </c>
      <c r="I11" s="15" t="s">
        <v>635</v>
      </c>
      <c r="J11" s="180">
        <f t="shared" si="2"/>
        <v>1</v>
      </c>
      <c r="K11" s="180">
        <f t="shared" si="0"/>
        <v>0.99242686796553603</v>
      </c>
      <c r="L11" s="180">
        <f t="shared" si="0"/>
        <v>0.94856883643441903</v>
      </c>
    </row>
    <row r="12" spans="1:12" x14ac:dyDescent="0.25">
      <c r="B12" s="123" t="s">
        <v>567</v>
      </c>
      <c r="C12" s="11" t="s">
        <v>568</v>
      </c>
      <c r="D12" s="15">
        <f>'Results Flue gas - MEA (GF)'!D33</f>
        <v>14.977125950000003</v>
      </c>
      <c r="E12" s="15">
        <f>'Results Biogas - MEA (GF)'!D33</f>
        <v>14.890125950000002</v>
      </c>
      <c r="F12" s="15">
        <f>'Results SimaPro (GF)'!D33</f>
        <v>15.700410590000002</v>
      </c>
      <c r="H12" s="15">
        <f t="shared" si="1"/>
        <v>15.700410590000002</v>
      </c>
      <c r="I12" s="15" t="s">
        <v>633</v>
      </c>
      <c r="J12" s="180">
        <f t="shared" si="2"/>
        <v>0.9539321194274577</v>
      </c>
      <c r="K12" s="180">
        <f t="shared" si="0"/>
        <v>0.94839086306977904</v>
      </c>
      <c r="L12" s="180">
        <f t="shared" si="0"/>
        <v>1</v>
      </c>
    </row>
    <row r="13" spans="1:12" ht="18" x14ac:dyDescent="0.25">
      <c r="B13" s="123" t="s">
        <v>569</v>
      </c>
      <c r="C13" s="11" t="s">
        <v>566</v>
      </c>
      <c r="D13" s="15">
        <f>'Results Flue gas - MEA (GF)'!D34</f>
        <v>1.7602749482399997</v>
      </c>
      <c r="E13" s="15">
        <f>'Results Biogas - MEA (GF)'!D34</f>
        <v>1.7032749482399998</v>
      </c>
      <c r="F13" s="15">
        <f>'Results SimaPro (GF)'!D34</f>
        <v>1.6629071982399999</v>
      </c>
      <c r="H13" s="15">
        <f t="shared" si="1"/>
        <v>1.7602749482399997</v>
      </c>
      <c r="I13" s="15" t="s">
        <v>635</v>
      </c>
      <c r="J13" s="180">
        <f t="shared" si="2"/>
        <v>1</v>
      </c>
      <c r="K13" s="180">
        <f t="shared" si="0"/>
        <v>0.96761869499023945</v>
      </c>
      <c r="L13" s="180">
        <f t="shared" si="0"/>
        <v>0.94468605594975241</v>
      </c>
    </row>
    <row r="14" spans="1:12" ht="18" x14ac:dyDescent="0.25">
      <c r="B14" s="123" t="s">
        <v>570</v>
      </c>
      <c r="C14" s="11" t="s">
        <v>571</v>
      </c>
      <c r="D14" s="15">
        <f>'Results Flue gas - MEA (GF)'!D35</f>
        <v>0.13629439269999999</v>
      </c>
      <c r="E14" s="15">
        <f>'Results Biogas - MEA (GF)'!D35</f>
        <v>0.13049439269999999</v>
      </c>
      <c r="F14" s="15">
        <f>'Results SimaPro (GF)'!D35</f>
        <v>0.14439479899999996</v>
      </c>
      <c r="H14" s="15">
        <f t="shared" si="1"/>
        <v>0.14439479899999996</v>
      </c>
      <c r="I14" s="15" t="s">
        <v>633</v>
      </c>
      <c r="J14" s="180">
        <f t="shared" si="2"/>
        <v>0.94390098288789492</v>
      </c>
      <c r="K14" s="180">
        <f t="shared" si="0"/>
        <v>0.90373333114304222</v>
      </c>
      <c r="L14" s="180">
        <f t="shared" si="0"/>
        <v>1</v>
      </c>
    </row>
    <row r="15" spans="1:12" ht="18" x14ac:dyDescent="0.25">
      <c r="B15" s="171" t="s">
        <v>572</v>
      </c>
      <c r="C15" s="161" t="s">
        <v>573</v>
      </c>
      <c r="D15" s="185">
        <f>'Results Flue gas - MEA (GF)'!D36</f>
        <v>354.54502739454205</v>
      </c>
      <c r="E15" s="185">
        <f>'Results Biogas - MEA (GF)'!D36</f>
        <v>384.24502739454198</v>
      </c>
      <c r="F15" s="185">
        <f>'Results SimaPro (GF)'!D36</f>
        <v>381.65437635454208</v>
      </c>
      <c r="H15" s="15">
        <f t="shared" si="1"/>
        <v>384.24502739454198</v>
      </c>
      <c r="I15" s="15" t="s">
        <v>633</v>
      </c>
      <c r="J15" s="180">
        <f t="shared" si="2"/>
        <v>0.92270557097020278</v>
      </c>
      <c r="K15" s="180">
        <f t="shared" si="0"/>
        <v>1</v>
      </c>
      <c r="L15" s="180">
        <f t="shared" si="0"/>
        <v>0.99325781505211308</v>
      </c>
    </row>
    <row r="16" spans="1:12" x14ac:dyDescent="0.25">
      <c r="B16" s="123" t="s">
        <v>574</v>
      </c>
      <c r="C16" s="11" t="s">
        <v>575</v>
      </c>
      <c r="D16" s="15">
        <f>'Results Flue gas - MEA (GF)'!D37</f>
        <v>8172.6106436200007</v>
      </c>
      <c r="E16" s="15">
        <f>'Results Biogas - MEA (GF)'!D37</f>
        <v>6682.6106436200007</v>
      </c>
      <c r="F16" s="15">
        <f>'Results SimaPro (GF)'!D37</f>
        <v>6248.3314473199989</v>
      </c>
      <c r="H16" s="15">
        <f t="shared" si="1"/>
        <v>8172.6106436200007</v>
      </c>
      <c r="I16" s="15" t="s">
        <v>635</v>
      </c>
      <c r="J16" s="180">
        <f t="shared" si="2"/>
        <v>1</v>
      </c>
      <c r="K16" s="180">
        <f t="shared" si="0"/>
        <v>0.81768371638220916</v>
      </c>
      <c r="L16" s="180">
        <f t="shared" si="0"/>
        <v>0.76454534784399619</v>
      </c>
    </row>
    <row r="17" spans="1:12" x14ac:dyDescent="0.25">
      <c r="B17" s="123" t="s">
        <v>576</v>
      </c>
      <c r="C17" s="11" t="s">
        <v>577</v>
      </c>
      <c r="D17" s="15">
        <f>'Results Flue gas - MEA (GF)'!D38</f>
        <v>11.277268779999998</v>
      </c>
      <c r="E17" s="15">
        <f>'Results Biogas - MEA (GF)'!D38</f>
        <v>12.518268779999998</v>
      </c>
      <c r="F17" s="15">
        <f>'Results SimaPro (GF)'!D38</f>
        <v>18.099492040000001</v>
      </c>
      <c r="H17" s="15">
        <f t="shared" si="1"/>
        <v>18.099492040000001</v>
      </c>
      <c r="I17" s="15" t="s">
        <v>633</v>
      </c>
      <c r="J17" s="180">
        <f>D17/$H17</f>
        <v>0.62307100967679963</v>
      </c>
      <c r="K17" s="180">
        <f t="shared" si="0"/>
        <v>0.69163646981553617</v>
      </c>
      <c r="L17" s="180">
        <f t="shared" si="0"/>
        <v>1</v>
      </c>
    </row>
    <row r="20" spans="1:12" ht="29.1" customHeight="1" x14ac:dyDescent="0.25">
      <c r="B20" s="162" t="s">
        <v>612</v>
      </c>
      <c r="C20" s="162" t="s">
        <v>337</v>
      </c>
      <c r="D20" s="162" t="s">
        <v>631</v>
      </c>
      <c r="E20" s="162" t="s">
        <v>632</v>
      </c>
      <c r="F20" s="162" t="s">
        <v>633</v>
      </c>
      <c r="H20" s="288" t="s">
        <v>601</v>
      </c>
      <c r="I20" s="289"/>
      <c r="J20" s="162" t="s">
        <v>631</v>
      </c>
      <c r="K20" s="162" t="s">
        <v>632</v>
      </c>
      <c r="L20" s="162" t="s">
        <v>633</v>
      </c>
    </row>
    <row r="21" spans="1:12" x14ac:dyDescent="0.25">
      <c r="B21" s="123" t="s">
        <v>588</v>
      </c>
      <c r="C21" s="11" t="s">
        <v>589</v>
      </c>
      <c r="D21" s="178">
        <f>'Results Flue gas - MEA (GF)'!D111</f>
        <v>2.7806661462790005E-4</v>
      </c>
      <c r="E21" s="178">
        <f>'Results Biogas - MEA (GF)'!D111</f>
        <v>2.8226661462790005E-4</v>
      </c>
      <c r="F21" s="178">
        <f>'Results SimaPro (GF)'!D111</f>
        <v>2.7292673462790001E-4</v>
      </c>
      <c r="H21" s="178">
        <f t="shared" ref="H21:H24" si="3">MAX(D21:F21)</f>
        <v>2.8226661462790005E-4</v>
      </c>
      <c r="I21" s="15" t="s">
        <v>634</v>
      </c>
      <c r="J21" s="180">
        <f>D21/$H21</f>
        <v>0.98512045072869603</v>
      </c>
      <c r="K21" s="180">
        <f t="shared" ref="K21:L24" si="4">E21/$H21</f>
        <v>1</v>
      </c>
      <c r="L21" s="180">
        <f t="shared" si="4"/>
        <v>0.96691114175046033</v>
      </c>
    </row>
    <row r="22" spans="1:12" ht="17.25" x14ac:dyDescent="0.25">
      <c r="B22" s="123" t="s">
        <v>590</v>
      </c>
      <c r="C22" s="11" t="s">
        <v>591</v>
      </c>
      <c r="D22" s="15">
        <f>'Results Flue gas - MEA (GF)'!D112</f>
        <v>145.64922561340001</v>
      </c>
      <c r="E22" s="15">
        <f>'Results Biogas - MEA (GF)'!D112</f>
        <v>141.04922561340001</v>
      </c>
      <c r="F22" s="15">
        <f>'Results SimaPro (GF)'!D112</f>
        <v>143.4720554834</v>
      </c>
      <c r="H22" s="15">
        <f t="shared" si="3"/>
        <v>145.64922561340001</v>
      </c>
      <c r="I22" s="15" t="s">
        <v>635</v>
      </c>
      <c r="J22" s="180">
        <f t="shared" ref="J22:J24" si="5">D22/$H22</f>
        <v>1</v>
      </c>
      <c r="K22" s="180">
        <f t="shared" si="4"/>
        <v>0.96841727114835563</v>
      </c>
      <c r="L22" s="180">
        <f t="shared" si="4"/>
        <v>0.98505196220006741</v>
      </c>
    </row>
    <row r="23" spans="1:12" ht="18" x14ac:dyDescent="0.25">
      <c r="B23" s="171" t="s">
        <v>592</v>
      </c>
      <c r="C23" s="161" t="s">
        <v>573</v>
      </c>
      <c r="D23" s="185">
        <f>'Results Flue gas - MEA (GF)'!D113</f>
        <v>354.54502739454205</v>
      </c>
      <c r="E23" s="185">
        <f>'Results Biogas - MEA (GF)'!D113</f>
        <v>384.24502739454198</v>
      </c>
      <c r="F23" s="185">
        <f>'Results SimaPro (GF)'!D113</f>
        <v>381.65437635454208</v>
      </c>
      <c r="H23" s="15">
        <f t="shared" si="3"/>
        <v>384.24502739454198</v>
      </c>
      <c r="I23" s="15" t="s">
        <v>633</v>
      </c>
      <c r="J23" s="180">
        <f t="shared" si="5"/>
        <v>0.92270557097020278</v>
      </c>
      <c r="K23" s="180">
        <f t="shared" si="4"/>
        <v>1</v>
      </c>
      <c r="L23" s="180">
        <f t="shared" si="4"/>
        <v>0.99325781505211308</v>
      </c>
    </row>
    <row r="24" spans="1:12" x14ac:dyDescent="0.25">
      <c r="B24" s="123" t="s">
        <v>593</v>
      </c>
      <c r="C24" s="11" t="s">
        <v>575</v>
      </c>
      <c r="D24" s="15">
        <f>'Results Flue gas - MEA (GF)'!D114</f>
        <v>8179.5989115100001</v>
      </c>
      <c r="E24" s="15">
        <f>'Results Biogas - MEA (GF)'!D114</f>
        <v>6689.5989115100001</v>
      </c>
      <c r="F24" s="15">
        <f>'Results SimaPro (GF)'!D114</f>
        <v>6262.9209431099989</v>
      </c>
      <c r="H24" s="15">
        <f t="shared" si="3"/>
        <v>8179.5989115100001</v>
      </c>
      <c r="I24" s="15" t="s">
        <v>635</v>
      </c>
      <c r="J24" s="180">
        <f t="shared" si="5"/>
        <v>1</v>
      </c>
      <c r="K24" s="180">
        <f t="shared" si="4"/>
        <v>0.8178394789134058</v>
      </c>
      <c r="L24" s="180">
        <f t="shared" si="4"/>
        <v>0.7656758003497055</v>
      </c>
    </row>
    <row r="30" spans="1:12" s="196" customFormat="1" x14ac:dyDescent="0.25"/>
    <row r="32" spans="1:12" x14ac:dyDescent="0.25">
      <c r="A32" s="175" t="s">
        <v>613</v>
      </c>
      <c r="D32" s="195" t="s">
        <v>636</v>
      </c>
      <c r="E32" s="195" t="s">
        <v>637</v>
      </c>
      <c r="F32" s="195"/>
      <c r="J32" s="195" t="s">
        <v>636</v>
      </c>
      <c r="K32" s="195" t="s">
        <v>637</v>
      </c>
      <c r="L32" s="195"/>
    </row>
    <row r="33" spans="2:12" ht="30" customHeight="1" x14ac:dyDescent="0.25">
      <c r="B33" s="162" t="s">
        <v>614</v>
      </c>
      <c r="C33" s="162" t="s">
        <v>337</v>
      </c>
      <c r="D33" s="162" t="s">
        <v>631</v>
      </c>
      <c r="E33" s="162" t="s">
        <v>632</v>
      </c>
      <c r="F33" s="162" t="s">
        <v>633</v>
      </c>
      <c r="H33" s="288" t="s">
        <v>601</v>
      </c>
      <c r="I33" s="289"/>
      <c r="J33" s="162" t="s">
        <v>631</v>
      </c>
      <c r="K33" s="162" t="s">
        <v>632</v>
      </c>
      <c r="L33" s="162" t="s">
        <v>633</v>
      </c>
    </row>
    <row r="34" spans="2:12" ht="18" x14ac:dyDescent="0.25">
      <c r="B34" s="123" t="s">
        <v>550</v>
      </c>
      <c r="C34" s="11" t="s">
        <v>551</v>
      </c>
      <c r="D34" s="15">
        <f>'Results Flue gas - MEA (GF)'!D5</f>
        <v>4.5340000764999999</v>
      </c>
      <c r="E34" s="15">
        <f>'Results Biogas - MEA (GF)'!D5</f>
        <v>5.8240000765</v>
      </c>
      <c r="F34" s="15">
        <f>'Results SimaPro (GF)'!D5</f>
        <v>4.6240000765000007</v>
      </c>
      <c r="H34" s="15">
        <f>MAX(D34:F34)</f>
        <v>5.8240000765</v>
      </c>
      <c r="I34" s="15" t="s">
        <v>634</v>
      </c>
      <c r="J34" s="180">
        <f>D34/$H34</f>
        <v>0.77850275016218051</v>
      </c>
      <c r="K34" s="180">
        <f t="shared" ref="K34:L48" si="6">E34/$H34</f>
        <v>1</v>
      </c>
      <c r="L34" s="180">
        <f t="shared" si="6"/>
        <v>0.79395604666249364</v>
      </c>
    </row>
    <row r="35" spans="2:12" ht="18" x14ac:dyDescent="0.25">
      <c r="B35" s="123" t="s">
        <v>552</v>
      </c>
      <c r="C35" s="11" t="s">
        <v>551</v>
      </c>
      <c r="D35" s="15">
        <f>'Results Flue gas - MEA (GF)'!D6</f>
        <v>7.846001639999999</v>
      </c>
      <c r="E35" s="15">
        <f>'Results Biogas - MEA (GF)'!D6</f>
        <v>7.846001639999999</v>
      </c>
      <c r="F35" s="15">
        <f>'Results SimaPro (GF)'!D6</f>
        <v>7.9860016399999996</v>
      </c>
      <c r="H35" s="15">
        <f t="shared" ref="H35:H48" si="7">MAX(D35:F35)</f>
        <v>7.9860016399999996</v>
      </c>
      <c r="I35" s="15" t="s">
        <v>633</v>
      </c>
      <c r="J35" s="180">
        <f t="shared" ref="J35:J48" si="8">D35/$H35</f>
        <v>0.98246932491238503</v>
      </c>
      <c r="K35" s="180">
        <f t="shared" si="6"/>
        <v>0.98246932491238503</v>
      </c>
      <c r="L35" s="180">
        <f t="shared" si="6"/>
        <v>1</v>
      </c>
    </row>
    <row r="36" spans="2:12" x14ac:dyDescent="0.25">
      <c r="B36" s="123" t="s">
        <v>553</v>
      </c>
      <c r="C36" s="11" t="s">
        <v>554</v>
      </c>
      <c r="D36" s="15">
        <f>'Results Flue gas - MEA (GF)'!D7</f>
        <v>0.30740002199999999</v>
      </c>
      <c r="E36" s="15">
        <f>'Results Biogas - MEA (GF)'!D7</f>
        <v>0.30740002199999999</v>
      </c>
      <c r="F36" s="15">
        <f>'Results SimaPro (GF)'!D7</f>
        <v>0.30040002199999999</v>
      </c>
      <c r="H36" s="15">
        <f t="shared" si="7"/>
        <v>0.30740002199999999</v>
      </c>
      <c r="I36" s="15" t="s">
        <v>635</v>
      </c>
      <c r="J36" s="180">
        <f t="shared" si="8"/>
        <v>1</v>
      </c>
      <c r="K36" s="180">
        <f t="shared" si="6"/>
        <v>1</v>
      </c>
      <c r="L36" s="180">
        <f t="shared" si="6"/>
        <v>0.97722836857832107</v>
      </c>
    </row>
    <row r="37" spans="2:12" x14ac:dyDescent="0.25">
      <c r="B37" s="123" t="s">
        <v>555</v>
      </c>
      <c r="C37" s="11" t="s">
        <v>556</v>
      </c>
      <c r="D37" s="15">
        <f>'Results Flue gas - MEA (GF)'!D8</f>
        <v>6602.0150000000003</v>
      </c>
      <c r="E37" s="15">
        <f>'Results Biogas - MEA (GF)'!D8</f>
        <v>5502.0150000000003</v>
      </c>
      <c r="F37" s="15">
        <f>'Results SimaPro (GF)'!D8</f>
        <v>6222.0150000000003</v>
      </c>
      <c r="H37" s="15">
        <f t="shared" si="7"/>
        <v>6602.0150000000003</v>
      </c>
      <c r="I37" s="15" t="s">
        <v>635</v>
      </c>
      <c r="J37" s="180">
        <f t="shared" si="8"/>
        <v>1</v>
      </c>
      <c r="K37" s="180">
        <f t="shared" si="6"/>
        <v>0.83338420164146854</v>
      </c>
      <c r="L37" s="180">
        <f t="shared" si="6"/>
        <v>0.94244181511250735</v>
      </c>
    </row>
    <row r="38" spans="2:12" x14ac:dyDescent="0.25">
      <c r="B38" s="123" t="s">
        <v>557</v>
      </c>
      <c r="C38" s="11" t="s">
        <v>558</v>
      </c>
      <c r="D38" s="15">
        <f>'Results Flue gas - MEA (GF)'!D9</f>
        <v>7.3850000000054406E-5</v>
      </c>
      <c r="E38" s="15">
        <f>'Results Biogas - MEA (GF)'!D9</f>
        <v>5.1450000000054397E-5</v>
      </c>
      <c r="F38" s="15">
        <f>'Results SimaPro (GF)'!D9</f>
        <v>4.9950000000054401E-5</v>
      </c>
      <c r="H38" s="15">
        <f t="shared" si="7"/>
        <v>7.3850000000054406E-5</v>
      </c>
      <c r="I38" s="15" t="s">
        <v>635</v>
      </c>
      <c r="J38" s="180">
        <f t="shared" si="8"/>
        <v>1</v>
      </c>
      <c r="K38" s="180">
        <f t="shared" si="6"/>
        <v>0.69668246445519966</v>
      </c>
      <c r="L38" s="180">
        <f t="shared" si="6"/>
        <v>0.67637102234282465</v>
      </c>
    </row>
    <row r="39" spans="2:12" ht="18" x14ac:dyDescent="0.25">
      <c r="B39" s="123" t="s">
        <v>559</v>
      </c>
      <c r="C39" s="11" t="s">
        <v>560</v>
      </c>
      <c r="D39" s="15">
        <f>'Results Flue gas - MEA (GF)'!D10</f>
        <v>0.136330387</v>
      </c>
      <c r="E39" s="15">
        <f>'Results Biogas - MEA (GF)'!D10</f>
        <v>0.12333038700000001</v>
      </c>
      <c r="F39" s="15">
        <f>'Results SimaPro (GF)'!D10</f>
        <v>0.112330387</v>
      </c>
      <c r="H39" s="15">
        <f t="shared" si="7"/>
        <v>0.136330387</v>
      </c>
      <c r="I39" s="15" t="s">
        <v>635</v>
      </c>
      <c r="J39" s="180">
        <f t="shared" si="8"/>
        <v>1</v>
      </c>
      <c r="K39" s="180">
        <f t="shared" si="6"/>
        <v>0.90464341599793163</v>
      </c>
      <c r="L39" s="180">
        <f t="shared" si="6"/>
        <v>0.82395707568848908</v>
      </c>
    </row>
    <row r="40" spans="2:12" x14ac:dyDescent="0.25">
      <c r="B40" s="123" t="s">
        <v>561</v>
      </c>
      <c r="C40" s="11" t="s">
        <v>562</v>
      </c>
      <c r="D40" s="15">
        <f>'Results Flue gas - MEA (GF)'!D11</f>
        <v>28700.698</v>
      </c>
      <c r="E40" s="15">
        <f>'Results Biogas - MEA (GF)'!D11</f>
        <v>34300.698000000004</v>
      </c>
      <c r="F40" s="15">
        <f>'Results SimaPro (GF)'!D11</f>
        <v>26200.698</v>
      </c>
      <c r="H40" s="15">
        <f t="shared" si="7"/>
        <v>34300.698000000004</v>
      </c>
      <c r="I40" s="15" t="s">
        <v>634</v>
      </c>
      <c r="J40" s="180">
        <f t="shared" si="8"/>
        <v>0.83673801623512145</v>
      </c>
      <c r="K40" s="180">
        <f t="shared" si="6"/>
        <v>1</v>
      </c>
      <c r="L40" s="180">
        <f t="shared" si="6"/>
        <v>0.76385320205437213</v>
      </c>
    </row>
    <row r="41" spans="2:12" x14ac:dyDescent="0.25">
      <c r="B41" s="123" t="s">
        <v>563</v>
      </c>
      <c r="C41" s="11" t="s">
        <v>564</v>
      </c>
      <c r="D41" s="15">
        <f>'Results Flue gas - MEA (GF)'!D12</f>
        <v>14690.000147000001</v>
      </c>
      <c r="E41" s="15">
        <f>'Results Biogas - MEA (GF)'!D12</f>
        <v>14090.000147000001</v>
      </c>
      <c r="F41" s="15">
        <f>'Results SimaPro (GF)'!D12</f>
        <v>14390.000147000001</v>
      </c>
      <c r="H41" s="15">
        <f t="shared" si="7"/>
        <v>14690.000147000001</v>
      </c>
      <c r="I41" s="15" t="s">
        <v>635</v>
      </c>
      <c r="J41" s="180">
        <f t="shared" si="8"/>
        <v>1</v>
      </c>
      <c r="K41" s="180">
        <f t="shared" si="6"/>
        <v>0.95915588876814739</v>
      </c>
      <c r="L41" s="180">
        <f t="shared" si="6"/>
        <v>0.97957794438407364</v>
      </c>
    </row>
    <row r="42" spans="2:12" ht="18" x14ac:dyDescent="0.25">
      <c r="B42" s="123" t="s">
        <v>565</v>
      </c>
      <c r="C42" s="11" t="s">
        <v>566</v>
      </c>
      <c r="D42" s="15">
        <f>'Results Flue gas - MEA (GF)'!D13</f>
        <v>4.7600009500000002</v>
      </c>
      <c r="E42" s="15">
        <f>'Results Biogas - MEA (GF)'!D13</f>
        <v>4.7300009500000009</v>
      </c>
      <c r="F42" s="15">
        <f>'Results SimaPro (GF)'!D13</f>
        <v>4.5300009500000007</v>
      </c>
      <c r="H42" s="15">
        <f t="shared" si="7"/>
        <v>4.7600009500000002</v>
      </c>
      <c r="I42" s="15" t="s">
        <v>635</v>
      </c>
      <c r="J42" s="180">
        <f t="shared" si="8"/>
        <v>1</v>
      </c>
      <c r="K42" s="180">
        <f t="shared" si="6"/>
        <v>0.99369748024945259</v>
      </c>
      <c r="L42" s="180">
        <f t="shared" si="6"/>
        <v>0.95168068191246902</v>
      </c>
    </row>
    <row r="43" spans="2:12" x14ac:dyDescent="0.25">
      <c r="B43" s="123" t="s">
        <v>567</v>
      </c>
      <c r="C43" s="11" t="s">
        <v>568</v>
      </c>
      <c r="D43" s="15">
        <f>'Results Flue gas - MEA (GF)'!D14</f>
        <v>13.762</v>
      </c>
      <c r="E43" s="15">
        <f>'Results Biogas - MEA (GF)'!D14</f>
        <v>13.662000000000001</v>
      </c>
      <c r="F43" s="15">
        <f>'Results SimaPro (GF)'!D14</f>
        <v>14.362</v>
      </c>
      <c r="H43" s="15">
        <f t="shared" si="7"/>
        <v>14.362</v>
      </c>
      <c r="I43" s="15" t="s">
        <v>633</v>
      </c>
      <c r="J43" s="180">
        <f t="shared" si="8"/>
        <v>0.95822308870630835</v>
      </c>
      <c r="K43" s="180">
        <f t="shared" si="6"/>
        <v>0.9512602701573597</v>
      </c>
      <c r="L43" s="180">
        <f t="shared" si="6"/>
        <v>1</v>
      </c>
    </row>
    <row r="44" spans="2:12" ht="18" x14ac:dyDescent="0.25">
      <c r="B44" s="123" t="s">
        <v>569</v>
      </c>
      <c r="C44" s="11" t="s">
        <v>566</v>
      </c>
      <c r="D44" s="15">
        <f>'Results Flue gas - MEA (GF)'!D15</f>
        <v>1.57460339</v>
      </c>
      <c r="E44" s="15">
        <f>'Results Biogas - MEA (GF)'!D15</f>
        <v>1.52460339</v>
      </c>
      <c r="F44" s="15">
        <f>'Results SimaPro (GF)'!D15</f>
        <v>1.49460339</v>
      </c>
      <c r="H44" s="15">
        <f t="shared" si="7"/>
        <v>1.57460339</v>
      </c>
      <c r="I44" s="15" t="s">
        <v>635</v>
      </c>
      <c r="J44" s="180">
        <f t="shared" si="8"/>
        <v>1</v>
      </c>
      <c r="K44" s="180">
        <f t="shared" si="6"/>
        <v>0.96824597208570717</v>
      </c>
      <c r="L44" s="180">
        <f t="shared" si="6"/>
        <v>0.94919355533713157</v>
      </c>
    </row>
    <row r="45" spans="2:12" ht="18" x14ac:dyDescent="0.25">
      <c r="B45" s="123" t="s">
        <v>570</v>
      </c>
      <c r="C45" s="11" t="s">
        <v>571</v>
      </c>
      <c r="D45" s="15">
        <f>'Results Flue gas - MEA (GF)'!D16</f>
        <v>0.12121999999999999</v>
      </c>
      <c r="E45" s="15">
        <f>'Results Biogas - MEA (GF)'!D16</f>
        <v>0.11622</v>
      </c>
      <c r="F45" s="15">
        <f>'Results SimaPro (GF)'!D16</f>
        <v>0.12822</v>
      </c>
      <c r="H45" s="15">
        <f t="shared" si="7"/>
        <v>0.12822</v>
      </c>
      <c r="I45" s="15" t="s">
        <v>633</v>
      </c>
      <c r="J45" s="180">
        <f t="shared" si="8"/>
        <v>0.94540633286538756</v>
      </c>
      <c r="K45" s="180">
        <f t="shared" si="6"/>
        <v>0.90641085634066454</v>
      </c>
      <c r="L45" s="180">
        <f t="shared" si="6"/>
        <v>1</v>
      </c>
    </row>
    <row r="46" spans="2:12" ht="18" x14ac:dyDescent="0.25">
      <c r="B46" s="171" t="s">
        <v>572</v>
      </c>
      <c r="C46" s="161" t="s">
        <v>573</v>
      </c>
      <c r="D46" s="185">
        <f>'Results Flue gas - MEA (GF)'!D17</f>
        <v>327.10000002370003</v>
      </c>
      <c r="E46" s="185">
        <f>'Results Biogas - MEA (GF)'!D17</f>
        <v>353.10000002370003</v>
      </c>
      <c r="F46" s="185">
        <f>'Results SimaPro (GF)'!D17</f>
        <v>350.10000002370003</v>
      </c>
      <c r="H46" s="15">
        <f t="shared" si="7"/>
        <v>353.10000002370003</v>
      </c>
      <c r="I46" s="15" t="s">
        <v>633</v>
      </c>
      <c r="J46" s="180">
        <f t="shared" si="8"/>
        <v>0.92636646842748549</v>
      </c>
      <c r="K46" s="180">
        <f t="shared" si="6"/>
        <v>1</v>
      </c>
      <c r="L46" s="180">
        <f t="shared" si="6"/>
        <v>0.99150382328009445</v>
      </c>
    </row>
    <row r="47" spans="2:12" x14ac:dyDescent="0.25">
      <c r="B47" s="123" t="s">
        <v>574</v>
      </c>
      <c r="C47" s="11" t="s">
        <v>575</v>
      </c>
      <c r="D47" s="15">
        <f>'Results Flue gas - MEA (GF)'!D18</f>
        <v>7418.03</v>
      </c>
      <c r="E47" s="15">
        <f>'Results Biogas - MEA (GF)'!D18</f>
        <v>6118.03</v>
      </c>
      <c r="F47" s="15">
        <f>'Results SimaPro (GF)'!D18</f>
        <v>5738.03</v>
      </c>
      <c r="H47" s="15">
        <f t="shared" si="7"/>
        <v>7418.03</v>
      </c>
      <c r="I47" s="15" t="s">
        <v>635</v>
      </c>
      <c r="J47" s="180">
        <f t="shared" si="8"/>
        <v>1</v>
      </c>
      <c r="K47" s="180">
        <f t="shared" si="6"/>
        <v>0.82475131537618473</v>
      </c>
      <c r="L47" s="180">
        <f t="shared" si="6"/>
        <v>0.7735247767938388</v>
      </c>
    </row>
    <row r="48" spans="2:12" x14ac:dyDescent="0.25">
      <c r="B48" s="123" t="s">
        <v>576</v>
      </c>
      <c r="C48" s="11" t="s">
        <v>577</v>
      </c>
      <c r="D48" s="15">
        <f>'Results Flue gas - MEA (GF)'!D19</f>
        <v>10.286999999999999</v>
      </c>
      <c r="E48" s="15">
        <f>'Results Biogas - MEA (GF)'!D19</f>
        <v>11.387</v>
      </c>
      <c r="F48" s="15">
        <f>'Results SimaPro (GF)'!D19</f>
        <v>16.286999999999999</v>
      </c>
      <c r="H48" s="15">
        <f t="shared" si="7"/>
        <v>16.286999999999999</v>
      </c>
      <c r="I48" s="15" t="s">
        <v>633</v>
      </c>
      <c r="J48" s="180">
        <f t="shared" si="8"/>
        <v>0.63160803094492535</v>
      </c>
      <c r="K48" s="180">
        <f t="shared" si="6"/>
        <v>0.69914655860502251</v>
      </c>
      <c r="L48" s="180">
        <f t="shared" si="6"/>
        <v>1</v>
      </c>
    </row>
    <row r="51" spans="2:12" ht="29.1" customHeight="1" x14ac:dyDescent="0.25">
      <c r="B51" s="162" t="s">
        <v>614</v>
      </c>
      <c r="C51" s="162" t="s">
        <v>337</v>
      </c>
      <c r="D51" s="162" t="s">
        <v>631</v>
      </c>
      <c r="E51" s="162" t="s">
        <v>632</v>
      </c>
      <c r="F51" s="162" t="s">
        <v>633</v>
      </c>
      <c r="H51" s="288" t="s">
        <v>601</v>
      </c>
      <c r="I51" s="289"/>
      <c r="J51" s="162" t="s">
        <v>631</v>
      </c>
      <c r="K51" s="162" t="s">
        <v>632</v>
      </c>
      <c r="L51" s="162" t="s">
        <v>633</v>
      </c>
    </row>
    <row r="52" spans="2:12" x14ac:dyDescent="0.25">
      <c r="B52" s="123" t="s">
        <v>588</v>
      </c>
      <c r="C52" s="11" t="s">
        <v>589</v>
      </c>
      <c r="D52" s="15">
        <f>'Results Flue gas - MEA (GF)'!D103</f>
        <v>2.5134002419999998E-4</v>
      </c>
      <c r="E52" s="15">
        <f>'Results Biogas - MEA (GF)'!D103</f>
        <v>2.5534002420000003E-4</v>
      </c>
      <c r="F52" s="15">
        <f>'Results SimaPro (GF)'!D103</f>
        <v>2.473400242E-4</v>
      </c>
      <c r="H52" s="178">
        <f t="shared" ref="H52:H55" si="9">MAX(D52:F52)</f>
        <v>2.5534002420000003E-4</v>
      </c>
      <c r="I52" s="15" t="s">
        <v>634</v>
      </c>
      <c r="J52" s="180">
        <f t="shared" ref="J52:J55" si="10">D52/$H52</f>
        <v>0.98433461415799439</v>
      </c>
      <c r="K52" s="180">
        <f t="shared" ref="K52:K55" si="11">E52/$H52</f>
        <v>1</v>
      </c>
      <c r="L52" s="180">
        <f t="shared" ref="L52:L55" si="12">F52/$H52</f>
        <v>0.96866922831598901</v>
      </c>
    </row>
    <row r="53" spans="2:12" ht="17.25" x14ac:dyDescent="0.25">
      <c r="B53" s="123" t="s">
        <v>590</v>
      </c>
      <c r="C53" s="11" t="s">
        <v>591</v>
      </c>
      <c r="D53" s="15">
        <f>'Results Flue gas - MEA (GF)'!D104</f>
        <v>137.40003719999999</v>
      </c>
      <c r="E53" s="15">
        <f>'Results Biogas - MEA (GF)'!D104</f>
        <v>133.40003719999999</v>
      </c>
      <c r="F53" s="15">
        <f>'Results SimaPro (GF)'!D104</f>
        <v>135.40003719999999</v>
      </c>
      <c r="H53" s="15">
        <f t="shared" si="9"/>
        <v>137.40003719999999</v>
      </c>
      <c r="I53" s="15" t="s">
        <v>635</v>
      </c>
      <c r="J53" s="180">
        <f t="shared" si="10"/>
        <v>1</v>
      </c>
      <c r="K53" s="180">
        <f t="shared" si="11"/>
        <v>0.97088792636804322</v>
      </c>
      <c r="L53" s="180">
        <f t="shared" si="12"/>
        <v>0.98544396318402161</v>
      </c>
    </row>
    <row r="54" spans="2:12" ht="18" x14ac:dyDescent="0.25">
      <c r="B54" s="171" t="s">
        <v>592</v>
      </c>
      <c r="C54" s="161" t="s">
        <v>573</v>
      </c>
      <c r="D54" s="185">
        <f>'Results Flue gas - MEA (GF)'!D105</f>
        <v>327.10000002370003</v>
      </c>
      <c r="E54" s="185">
        <f>'Results Biogas - MEA (GF)'!D105</f>
        <v>353.10000002370003</v>
      </c>
      <c r="F54" s="185">
        <f>'Results SimaPro (GF)'!D105</f>
        <v>350.10000002370003</v>
      </c>
      <c r="H54" s="15">
        <f t="shared" si="9"/>
        <v>353.10000002370003</v>
      </c>
      <c r="I54" s="15" t="s">
        <v>633</v>
      </c>
      <c r="J54" s="180">
        <f t="shared" si="10"/>
        <v>0.92636646842748549</v>
      </c>
      <c r="K54" s="180">
        <f t="shared" si="11"/>
        <v>1</v>
      </c>
      <c r="L54" s="180">
        <f t="shared" si="12"/>
        <v>0.99150382328009445</v>
      </c>
    </row>
    <row r="55" spans="2:12" x14ac:dyDescent="0.25">
      <c r="B55" s="123" t="s">
        <v>593</v>
      </c>
      <c r="C55" s="11" t="s">
        <v>575</v>
      </c>
      <c r="D55" s="15">
        <f>'Results Flue gas - MEA (GF)'!D106</f>
        <v>7429.15</v>
      </c>
      <c r="E55" s="15">
        <f>'Results Biogas - MEA (GF)'!D106</f>
        <v>6129.15</v>
      </c>
      <c r="F55" s="15">
        <f>'Results SimaPro (GF)'!D106</f>
        <v>5759.15</v>
      </c>
      <c r="H55" s="15">
        <f t="shared" si="9"/>
        <v>7429.15</v>
      </c>
      <c r="I55" s="15" t="s">
        <v>635</v>
      </c>
      <c r="J55" s="180">
        <f t="shared" si="10"/>
        <v>1</v>
      </c>
      <c r="K55" s="180">
        <f t="shared" si="11"/>
        <v>0.82501362874622264</v>
      </c>
      <c r="L55" s="180">
        <f t="shared" si="12"/>
        <v>0.77520981538937828</v>
      </c>
    </row>
  </sheetData>
  <mergeCells count="4">
    <mergeCell ref="H2:I2"/>
    <mergeCell ref="H20:I20"/>
    <mergeCell ref="H33:I33"/>
    <mergeCell ref="H51:I5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Scenario 2</vt:lpstr>
      <vt:lpstr>Calculations</vt:lpstr>
      <vt:lpstr>LCA inventary (SimaPro)</vt:lpstr>
      <vt:lpstr>Results SimaPro (GF)</vt:lpstr>
      <vt:lpstr>Results Flue gas - MEA (GF)</vt:lpstr>
      <vt:lpstr>Results Biogas - MEA (GF)</vt:lpstr>
      <vt:lpstr>Results Flue gas - membran (GF)</vt:lpstr>
      <vt:lpstr>Results Biogas - membrane (GF)</vt:lpstr>
      <vt:lpstr>Comparation CO2 source (MEA)</vt:lpstr>
      <vt:lpstr>Comparation CO2 source (membra)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Rojo</dc:creator>
  <cp:lastModifiedBy>ELENA MARIA ROJO DE BENITO</cp:lastModifiedBy>
  <dcterms:created xsi:type="dcterms:W3CDTF">2023-02-21T11:43:50Z</dcterms:created>
  <dcterms:modified xsi:type="dcterms:W3CDTF">2024-03-21T13:14:44Z</dcterms:modified>
</cp:coreProperties>
</file>