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elenamaria_rojo_uva_es/Documents/Doctorado/Ciclos de Vida/Greenfarm/"/>
    </mc:Choice>
  </mc:AlternateContent>
  <xr:revisionPtr revIDLastSave="1798" documentId="8_{07715719-EB57-409D-BD2C-972B11C0B535}" xr6:coauthVersionLast="47" xr6:coauthVersionMax="47" xr10:uidLastSave="{6CDBD22C-0739-492C-A801-1E4A836A6D3A}"/>
  <bookViews>
    <workbookView xWindow="-110" yWindow="-110" windowWidth="19420" windowHeight="10300" firstSheet="2" activeTab="3" xr2:uid="{C2ECD088-0C01-47A2-B342-D020C44899F7}"/>
  </bookViews>
  <sheets>
    <sheet name="Escenario 3" sheetId="1" r:id="rId1"/>
    <sheet name="Calculations" sheetId="3" r:id="rId2"/>
    <sheet name="LCA inventory (pure CO2)" sheetId="2" r:id="rId3"/>
    <sheet name="Results Pure CO2" sheetId="4" r:id="rId4"/>
  </sheets>
  <externalReferences>
    <externalReference r:id="rId5"/>
    <externalReference r:id="rId6"/>
  </externalReferences>
  <definedNames>
    <definedName name="P">'LCA inventory (pure CO2)'!$K$5</definedName>
    <definedName name="solver_adj" localSheetId="0" hidden="1">'Escenario 3'!$O$69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'Escenario 3'!$C$203</definedName>
    <definedName name="solver_lhs2" localSheetId="0" hidden="1">'Escenario 3'!$Y$17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'Escenario 3'!$N$184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hs1" localSheetId="0" hidden="1">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14.4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4" l="1"/>
  <c r="AP16" i="4"/>
  <c r="AQ16" i="4"/>
  <c r="AR16" i="4"/>
  <c r="AN16" i="4"/>
  <c r="AO13" i="4"/>
  <c r="AP13" i="4"/>
  <c r="AQ13" i="4"/>
  <c r="AR13" i="4"/>
  <c r="AN13" i="4"/>
  <c r="AO10" i="4"/>
  <c r="AP10" i="4"/>
  <c r="AQ10" i="4"/>
  <c r="AR10" i="4"/>
  <c r="AN10" i="4"/>
  <c r="AR14" i="4"/>
  <c r="AR15" i="4" s="1"/>
  <c r="AR11" i="4"/>
  <c r="AR12" i="4" s="1"/>
  <c r="AR8" i="4"/>
  <c r="AR9" i="4"/>
  <c r="AQ14" i="4"/>
  <c r="AQ11" i="4"/>
  <c r="AQ8" i="4"/>
  <c r="AP9" i="4" s="1"/>
  <c r="AP14" i="4"/>
  <c r="AP15" i="4" s="1"/>
  <c r="AP11" i="4"/>
  <c r="AP12" i="4" s="1"/>
  <c r="AP8" i="4"/>
  <c r="AO7" i="4"/>
  <c r="AP7" i="4"/>
  <c r="AQ7" i="4"/>
  <c r="AR7" i="4"/>
  <c r="AN7" i="4"/>
  <c r="AR5" i="4"/>
  <c r="AR6" i="4" s="1"/>
  <c r="AQ5" i="4"/>
  <c r="AP5" i="4"/>
  <c r="AO14" i="4"/>
  <c r="AO11" i="4"/>
  <c r="AO8" i="4"/>
  <c r="AO9" i="4" s="1"/>
  <c r="AN14" i="4"/>
  <c r="AN11" i="4"/>
  <c r="AN8" i="4"/>
  <c r="AO5" i="4"/>
  <c r="AN5" i="4"/>
  <c r="AN15" i="4"/>
  <c r="AN12" i="4"/>
  <c r="AN9" i="4"/>
  <c r="AN6" i="4"/>
  <c r="AI14" i="4"/>
  <c r="AI15" i="4" s="1"/>
  <c r="AI16" i="4" s="1"/>
  <c r="AH14" i="4"/>
  <c r="AG14" i="4"/>
  <c r="AG15" i="4" s="1"/>
  <c r="AG16" i="4" s="1"/>
  <c r="AI11" i="4"/>
  <c r="AH12" i="4" s="1"/>
  <c r="AH13" i="4" s="1"/>
  <c r="AH11" i="4"/>
  <c r="AJ10" i="4"/>
  <c r="AJ7" i="4"/>
  <c r="AG11" i="4"/>
  <c r="AF6" i="4"/>
  <c r="AG6" i="4"/>
  <c r="AG5" i="4"/>
  <c r="AG7" i="4" s="1"/>
  <c r="AE6" i="4"/>
  <c r="AE16" i="4"/>
  <c r="AE13" i="4"/>
  <c r="AF10" i="4"/>
  <c r="AG10" i="4"/>
  <c r="AH10" i="4"/>
  <c r="AI10" i="4"/>
  <c r="AE10" i="4"/>
  <c r="AF9" i="4"/>
  <c r="AG9" i="4"/>
  <c r="AH9" i="4"/>
  <c r="AI9" i="4"/>
  <c r="AI8" i="4"/>
  <c r="AH8" i="4"/>
  <c r="AG8" i="4"/>
  <c r="AF5" i="4"/>
  <c r="AH7" i="4"/>
  <c r="AI7" i="4"/>
  <c r="AH6" i="4"/>
  <c r="AI6" i="4"/>
  <c r="AS10" i="4" l="1"/>
  <c r="AQ15" i="4"/>
  <c r="AQ12" i="4"/>
  <c r="AQ9" i="4"/>
  <c r="AO15" i="4"/>
  <c r="AS16" i="4"/>
  <c r="AO12" i="4"/>
  <c r="AS7" i="4"/>
  <c r="AQ6" i="4"/>
  <c r="AP6" i="4"/>
  <c r="AO6" i="4"/>
  <c r="AS13" i="4"/>
  <c r="AH15" i="4"/>
  <c r="AH16" i="4" s="1"/>
  <c r="AF15" i="4"/>
  <c r="AF16" i="4" s="1"/>
  <c r="AJ16" i="4" s="1"/>
  <c r="AI12" i="4"/>
  <c r="AI13" i="4" s="1"/>
  <c r="AG12" i="4"/>
  <c r="AG13" i="4" s="1"/>
  <c r="AJ13" i="4" s="1"/>
  <c r="AF12" i="4"/>
  <c r="AF13" i="4" s="1"/>
  <c r="AF7" i="4"/>
  <c r="D55" i="4" l="1"/>
  <c r="AI5" i="4" s="1"/>
  <c r="N98" i="2"/>
  <c r="I186" i="1"/>
  <c r="I185" i="1"/>
  <c r="I190" i="1"/>
  <c r="I189" i="1"/>
  <c r="I187" i="1"/>
  <c r="D189" i="4" l="1"/>
  <c r="E189" i="4"/>
  <c r="O189" i="4" s="1"/>
  <c r="D178" i="4"/>
  <c r="F159" i="4" s="1"/>
  <c r="D179" i="4"/>
  <c r="F160" i="4" s="1"/>
  <c r="D160" i="4" s="1"/>
  <c r="D180" i="4"/>
  <c r="D181" i="4"/>
  <c r="D182" i="4"/>
  <c r="F163" i="4" s="1"/>
  <c r="D183" i="4"/>
  <c r="F164" i="4" s="1"/>
  <c r="D184" i="4"/>
  <c r="F165" i="4" s="1"/>
  <c r="D185" i="4"/>
  <c r="F166" i="4" s="1"/>
  <c r="D186" i="4"/>
  <c r="F167" i="4" s="1"/>
  <c r="D187" i="4"/>
  <c r="F168" i="4" s="1"/>
  <c r="D188" i="4"/>
  <c r="F170" i="4"/>
  <c r="D190" i="4"/>
  <c r="F171" i="4" s="1"/>
  <c r="D191" i="4"/>
  <c r="F172" i="4" s="1"/>
  <c r="D177" i="4"/>
  <c r="F158" i="4" s="1"/>
  <c r="D158" i="4" l="1"/>
  <c r="D172" i="4"/>
  <c r="D163" i="4"/>
  <c r="D171" i="4"/>
  <c r="D164" i="4"/>
  <c r="O160" i="4"/>
  <c r="R160" i="4"/>
  <c r="Q160" i="4"/>
  <c r="F141" i="4"/>
  <c r="D168" i="4"/>
  <c r="P168" i="4" s="1"/>
  <c r="S181" i="4"/>
  <c r="R181" i="4"/>
  <c r="O181" i="4"/>
  <c r="T181" i="4"/>
  <c r="Q181" i="4"/>
  <c r="P181" i="4"/>
  <c r="P160" i="4"/>
  <c r="Q188" i="4"/>
  <c r="P188" i="4"/>
  <c r="O188" i="4"/>
  <c r="T188" i="4"/>
  <c r="R188" i="4"/>
  <c r="S188" i="4"/>
  <c r="O187" i="4"/>
  <c r="R187" i="4"/>
  <c r="S187" i="4"/>
  <c r="P187" i="4"/>
  <c r="T187" i="4"/>
  <c r="Q187" i="4"/>
  <c r="S185" i="4"/>
  <c r="O185" i="4"/>
  <c r="R185" i="4"/>
  <c r="Q185" i="4"/>
  <c r="T185" i="4"/>
  <c r="P185" i="4"/>
  <c r="D165" i="4"/>
  <c r="P165" i="4" s="1"/>
  <c r="Q180" i="4"/>
  <c r="T180" i="4"/>
  <c r="P180" i="4"/>
  <c r="O180" i="4"/>
  <c r="R180" i="4"/>
  <c r="S180" i="4"/>
  <c r="O179" i="4"/>
  <c r="P179" i="4"/>
  <c r="S179" i="4"/>
  <c r="R179" i="4"/>
  <c r="T179" i="4"/>
  <c r="Q179" i="4"/>
  <c r="D159" i="4"/>
  <c r="P159" i="4" s="1"/>
  <c r="S189" i="4"/>
  <c r="T189" i="4"/>
  <c r="R189" i="4"/>
  <c r="Q189" i="4"/>
  <c r="P189" i="4"/>
  <c r="S177" i="4"/>
  <c r="R177" i="4"/>
  <c r="Q177" i="4"/>
  <c r="P177" i="4"/>
  <c r="O177" i="4"/>
  <c r="T177" i="4"/>
  <c r="Q184" i="4"/>
  <c r="R184" i="4"/>
  <c r="P184" i="4"/>
  <c r="O184" i="4"/>
  <c r="T184" i="4"/>
  <c r="S184" i="4"/>
  <c r="Q178" i="4"/>
  <c r="T178" i="4"/>
  <c r="P178" i="4"/>
  <c r="S178" i="4"/>
  <c r="R178" i="4"/>
  <c r="O178" i="4"/>
  <c r="O183" i="4"/>
  <c r="R183" i="4"/>
  <c r="T183" i="4"/>
  <c r="S183" i="4"/>
  <c r="P183" i="4"/>
  <c r="Q183" i="4"/>
  <c r="F162" i="4"/>
  <c r="D167" i="4"/>
  <c r="Q186" i="4"/>
  <c r="T186" i="4"/>
  <c r="S186" i="4"/>
  <c r="R186" i="4"/>
  <c r="P186" i="4"/>
  <c r="O186" i="4"/>
  <c r="D166" i="4"/>
  <c r="P166" i="4" s="1"/>
  <c r="O191" i="4"/>
  <c r="S191" i="4"/>
  <c r="R191" i="4"/>
  <c r="P191" i="4"/>
  <c r="T191" i="4"/>
  <c r="Q191" i="4"/>
  <c r="T190" i="4"/>
  <c r="S190" i="4"/>
  <c r="R190" i="4"/>
  <c r="Q190" i="4"/>
  <c r="P190" i="4"/>
  <c r="O190" i="4"/>
  <c r="Q182" i="4"/>
  <c r="T182" i="4"/>
  <c r="S182" i="4"/>
  <c r="R182" i="4"/>
  <c r="P182" i="4"/>
  <c r="O182" i="4"/>
  <c r="F169" i="4"/>
  <c r="F161" i="4"/>
  <c r="D170" i="4"/>
  <c r="D112" i="4"/>
  <c r="H112" i="4"/>
  <c r="H111" i="4"/>
  <c r="D111" i="4"/>
  <c r="D113" i="4"/>
  <c r="H113" i="4"/>
  <c r="D105" i="4"/>
  <c r="H105" i="4"/>
  <c r="H103" i="4"/>
  <c r="D103" i="4"/>
  <c r="D109" i="4"/>
  <c r="H109" i="4"/>
  <c r="D115" i="4"/>
  <c r="H115" i="4"/>
  <c r="H108" i="4"/>
  <c r="D108" i="4"/>
  <c r="D114" i="4"/>
  <c r="H114" i="4"/>
  <c r="D106" i="4"/>
  <c r="H106" i="4"/>
  <c r="H110" i="4"/>
  <c r="D110" i="4"/>
  <c r="H101" i="4"/>
  <c r="D101" i="4"/>
  <c r="H107" i="4"/>
  <c r="D107" i="4"/>
  <c r="D104" i="4"/>
  <c r="H104" i="4"/>
  <c r="D102" i="4"/>
  <c r="H102" i="4"/>
  <c r="D162" i="4" l="1"/>
  <c r="R171" i="4"/>
  <c r="Q171" i="4"/>
  <c r="O171" i="4"/>
  <c r="F152" i="4"/>
  <c r="F151" i="4"/>
  <c r="O170" i="4"/>
  <c r="R170" i="4"/>
  <c r="Q170" i="4"/>
  <c r="P171" i="4"/>
  <c r="D161" i="4"/>
  <c r="F144" i="4"/>
  <c r="R163" i="4"/>
  <c r="Q163" i="4"/>
  <c r="O163" i="4"/>
  <c r="F153" i="4"/>
  <c r="O172" i="4"/>
  <c r="R172" i="4"/>
  <c r="Q172" i="4"/>
  <c r="D169" i="4"/>
  <c r="P169" i="4" s="1"/>
  <c r="F146" i="4"/>
  <c r="R165" i="4"/>
  <c r="Q165" i="4"/>
  <c r="O165" i="4"/>
  <c r="F148" i="4"/>
  <c r="O167" i="4"/>
  <c r="R167" i="4"/>
  <c r="Q167" i="4"/>
  <c r="P172" i="4"/>
  <c r="D141" i="4"/>
  <c r="P141" i="4" s="1"/>
  <c r="F147" i="4"/>
  <c r="O166" i="4"/>
  <c r="R166" i="4"/>
  <c r="Q166" i="4"/>
  <c r="P167" i="4"/>
  <c r="R159" i="4"/>
  <c r="Q159" i="4"/>
  <c r="O159" i="4"/>
  <c r="F140" i="4"/>
  <c r="F145" i="4"/>
  <c r="O164" i="4"/>
  <c r="R164" i="4"/>
  <c r="Q164" i="4"/>
  <c r="O158" i="4"/>
  <c r="R158" i="4"/>
  <c r="Q158" i="4"/>
  <c r="F139" i="4"/>
  <c r="P163" i="4"/>
  <c r="P170" i="4"/>
  <c r="F149" i="4"/>
  <c r="O168" i="4"/>
  <c r="R168" i="4"/>
  <c r="Q168" i="4"/>
  <c r="P164" i="4"/>
  <c r="P158" i="4"/>
  <c r="F67" i="4"/>
  <c r="S105" i="4"/>
  <c r="T105" i="4"/>
  <c r="R105" i="4"/>
  <c r="F70" i="4"/>
  <c r="S108" i="4"/>
  <c r="T108" i="4"/>
  <c r="R108" i="4"/>
  <c r="F63" i="4"/>
  <c r="S101" i="4"/>
  <c r="T101" i="4"/>
  <c r="R101" i="4"/>
  <c r="F64" i="4"/>
  <c r="R102" i="4"/>
  <c r="S102" i="4"/>
  <c r="T102" i="4"/>
  <c r="F77" i="4"/>
  <c r="T115" i="4"/>
  <c r="R115" i="4"/>
  <c r="S115" i="4"/>
  <c r="F75" i="4"/>
  <c r="S113" i="4"/>
  <c r="T113" i="4"/>
  <c r="R113" i="4"/>
  <c r="F72" i="4"/>
  <c r="R110" i="4"/>
  <c r="S110" i="4"/>
  <c r="T110" i="4"/>
  <c r="F71" i="4"/>
  <c r="R109" i="4"/>
  <c r="S109" i="4"/>
  <c r="T109" i="4"/>
  <c r="F73" i="4"/>
  <c r="T111" i="4"/>
  <c r="R111" i="4"/>
  <c r="S111" i="4"/>
  <c r="F69" i="4"/>
  <c r="T107" i="4"/>
  <c r="R107" i="4"/>
  <c r="S107" i="4"/>
  <c r="F66" i="4"/>
  <c r="S104" i="4"/>
  <c r="T104" i="4"/>
  <c r="R104" i="4"/>
  <c r="F68" i="4"/>
  <c r="R106" i="4"/>
  <c r="S106" i="4"/>
  <c r="T106" i="4"/>
  <c r="F76" i="4"/>
  <c r="S114" i="4"/>
  <c r="R114" i="4"/>
  <c r="T114" i="4"/>
  <c r="F74" i="4"/>
  <c r="S112" i="4"/>
  <c r="T112" i="4"/>
  <c r="R112" i="4"/>
  <c r="F65" i="4"/>
  <c r="T103" i="4"/>
  <c r="R103" i="4"/>
  <c r="S103" i="4"/>
  <c r="F82" i="4"/>
  <c r="Q101" i="4"/>
  <c r="P101" i="4"/>
  <c r="O101" i="4"/>
  <c r="F83" i="4"/>
  <c r="P102" i="4"/>
  <c r="O102" i="4"/>
  <c r="Q102" i="4"/>
  <c r="F94" i="4"/>
  <c r="O113" i="4"/>
  <c r="Q113" i="4"/>
  <c r="P113" i="4"/>
  <c r="F92" i="4"/>
  <c r="P111" i="4"/>
  <c r="Q111" i="4"/>
  <c r="O111" i="4"/>
  <c r="F89" i="4"/>
  <c r="Q108" i="4"/>
  <c r="P108" i="4"/>
  <c r="O108" i="4"/>
  <c r="F96" i="4"/>
  <c r="Q115" i="4"/>
  <c r="P115" i="4"/>
  <c r="O115" i="4"/>
  <c r="F87" i="4"/>
  <c r="O106" i="4"/>
  <c r="Q106" i="4"/>
  <c r="P106" i="4"/>
  <c r="F90" i="4"/>
  <c r="Q109" i="4"/>
  <c r="P109" i="4"/>
  <c r="O109" i="4"/>
  <c r="F86" i="4"/>
  <c r="O105" i="4"/>
  <c r="Q105" i="4"/>
  <c r="P105" i="4"/>
  <c r="F88" i="4"/>
  <c r="Q107" i="4"/>
  <c r="P107" i="4"/>
  <c r="O107" i="4"/>
  <c r="F84" i="4"/>
  <c r="Q103" i="4"/>
  <c r="P103" i="4"/>
  <c r="O103" i="4"/>
  <c r="F91" i="4"/>
  <c r="P110" i="4"/>
  <c r="O110" i="4"/>
  <c r="Q110" i="4"/>
  <c r="F85" i="4"/>
  <c r="Q104" i="4"/>
  <c r="P104" i="4"/>
  <c r="O104" i="4"/>
  <c r="F95" i="4"/>
  <c r="O114" i="4"/>
  <c r="Q114" i="4"/>
  <c r="P114" i="4"/>
  <c r="F93" i="4"/>
  <c r="Q112" i="4"/>
  <c r="P112" i="4"/>
  <c r="O112" i="4"/>
  <c r="Y71" i="1"/>
  <c r="C16" i="2"/>
  <c r="D146" i="4" l="1"/>
  <c r="P146" i="4"/>
  <c r="R169" i="4"/>
  <c r="O169" i="4"/>
  <c r="Q169" i="4"/>
  <c r="F150" i="4"/>
  <c r="D151" i="4"/>
  <c r="P151" i="4" s="1"/>
  <c r="F142" i="4"/>
  <c r="R161" i="4"/>
  <c r="O161" i="4"/>
  <c r="Q161" i="4"/>
  <c r="D149" i="4"/>
  <c r="P149" i="4" s="1"/>
  <c r="D145" i="4"/>
  <c r="P145" i="4" s="1"/>
  <c r="D148" i="4"/>
  <c r="P148" i="4" s="1"/>
  <c r="P161" i="4"/>
  <c r="D144" i="4"/>
  <c r="P144" i="4"/>
  <c r="D139" i="4"/>
  <c r="P139" i="4" s="1"/>
  <c r="D140" i="4"/>
  <c r="P140" i="4" s="1"/>
  <c r="D147" i="4"/>
  <c r="P147" i="4" s="1"/>
  <c r="D152" i="4"/>
  <c r="P152" i="4"/>
  <c r="D153" i="4"/>
  <c r="P153" i="4" s="1"/>
  <c r="F143" i="4"/>
  <c r="O162" i="4"/>
  <c r="R162" i="4"/>
  <c r="Q162" i="4"/>
  <c r="F122" i="4"/>
  <c r="O141" i="4"/>
  <c r="Q141" i="4"/>
  <c r="P162" i="4"/>
  <c r="D74" i="4"/>
  <c r="D68" i="4"/>
  <c r="D69" i="4"/>
  <c r="D71" i="4"/>
  <c r="D75" i="4"/>
  <c r="D64" i="4"/>
  <c r="D70" i="4"/>
  <c r="D65" i="4"/>
  <c r="D76" i="4"/>
  <c r="D66" i="4"/>
  <c r="D73" i="4"/>
  <c r="D72" i="4"/>
  <c r="D77" i="4"/>
  <c r="D63" i="4"/>
  <c r="D67" i="4"/>
  <c r="D95" i="4"/>
  <c r="D91" i="4"/>
  <c r="D88" i="4"/>
  <c r="D90" i="4"/>
  <c r="D96" i="4"/>
  <c r="D92" i="4"/>
  <c r="D83" i="4"/>
  <c r="D93" i="4"/>
  <c r="D85" i="4"/>
  <c r="D84" i="4"/>
  <c r="D86" i="4"/>
  <c r="D87" i="4"/>
  <c r="D89" i="4"/>
  <c r="D94" i="4"/>
  <c r="D82" i="4"/>
  <c r="D53" i="4"/>
  <c r="P66" i="4" l="1"/>
  <c r="P84" i="4"/>
  <c r="P91" i="4"/>
  <c r="P76" i="4"/>
  <c r="P74" i="4"/>
  <c r="D143" i="4"/>
  <c r="P143" i="4"/>
  <c r="F121" i="4"/>
  <c r="Q140" i="4"/>
  <c r="O140" i="4"/>
  <c r="P85" i="4"/>
  <c r="P95" i="4"/>
  <c r="P65" i="4"/>
  <c r="F126" i="4"/>
  <c r="Q145" i="4"/>
  <c r="O145" i="4"/>
  <c r="O151" i="4"/>
  <c r="F132" i="4"/>
  <c r="Q151" i="4"/>
  <c r="P68" i="4"/>
  <c r="P67" i="4"/>
  <c r="F120" i="4"/>
  <c r="O139" i="4"/>
  <c r="Q139" i="4"/>
  <c r="P82" i="4"/>
  <c r="P63" i="4"/>
  <c r="F130" i="4"/>
  <c r="Q149" i="4"/>
  <c r="O149" i="4"/>
  <c r="P94" i="4"/>
  <c r="P92" i="4"/>
  <c r="P77" i="4"/>
  <c r="P75" i="4"/>
  <c r="D122" i="4"/>
  <c r="P122" i="4" s="1"/>
  <c r="F133" i="4"/>
  <c r="Q152" i="4"/>
  <c r="O152" i="4"/>
  <c r="F125" i="4"/>
  <c r="Q144" i="4"/>
  <c r="O144" i="4"/>
  <c r="P88" i="4"/>
  <c r="P70" i="4"/>
  <c r="F134" i="4"/>
  <c r="Q153" i="4"/>
  <c r="O153" i="4"/>
  <c r="D150" i="4"/>
  <c r="P150" i="4" s="1"/>
  <c r="P83" i="4"/>
  <c r="P64" i="4"/>
  <c r="P89" i="4"/>
  <c r="P96" i="4"/>
  <c r="P72" i="4"/>
  <c r="P71" i="4"/>
  <c r="P86" i="4"/>
  <c r="P90" i="4"/>
  <c r="P73" i="4"/>
  <c r="P69" i="4"/>
  <c r="F128" i="4"/>
  <c r="O147" i="4"/>
  <c r="Q147" i="4"/>
  <c r="F129" i="4"/>
  <c r="Q148" i="4"/>
  <c r="O148" i="4"/>
  <c r="D142" i="4"/>
  <c r="P142" i="4" s="1"/>
  <c r="F127" i="4"/>
  <c r="O146" i="4"/>
  <c r="Q146" i="4"/>
  <c r="T72" i="4"/>
  <c r="O72" i="4"/>
  <c r="S72" i="4"/>
  <c r="U72" i="4"/>
  <c r="Q72" i="4"/>
  <c r="R72" i="4"/>
  <c r="S65" i="4"/>
  <c r="O65" i="4"/>
  <c r="U65" i="4"/>
  <c r="Q65" i="4"/>
  <c r="R65" i="4"/>
  <c r="T65" i="4"/>
  <c r="R71" i="4"/>
  <c r="O71" i="4"/>
  <c r="S71" i="4"/>
  <c r="T71" i="4"/>
  <c r="U71" i="4"/>
  <c r="Q71" i="4"/>
  <c r="S73" i="4"/>
  <c r="O73" i="4"/>
  <c r="U73" i="4"/>
  <c r="Q73" i="4"/>
  <c r="R73" i="4"/>
  <c r="T73" i="4"/>
  <c r="Q70" i="4"/>
  <c r="R70" i="4"/>
  <c r="U70" i="4"/>
  <c r="S70" i="4"/>
  <c r="T70" i="4"/>
  <c r="O70" i="4"/>
  <c r="Q69" i="4"/>
  <c r="O69" i="4"/>
  <c r="R69" i="4"/>
  <c r="S69" i="4"/>
  <c r="U69" i="4"/>
  <c r="T69" i="4"/>
  <c r="R67" i="4"/>
  <c r="S67" i="4"/>
  <c r="T67" i="4"/>
  <c r="U67" i="4"/>
  <c r="O67" i="4"/>
  <c r="Q67" i="4"/>
  <c r="R63" i="4"/>
  <c r="S63" i="4"/>
  <c r="T63" i="4"/>
  <c r="U63" i="4"/>
  <c r="O63" i="4"/>
  <c r="Q63" i="4"/>
  <c r="T64" i="4"/>
  <c r="O64" i="4"/>
  <c r="U64" i="4"/>
  <c r="Q64" i="4"/>
  <c r="R64" i="4"/>
  <c r="S64" i="4"/>
  <c r="T68" i="4"/>
  <c r="U68" i="4"/>
  <c r="Q68" i="4"/>
  <c r="S68" i="4"/>
  <c r="O68" i="4"/>
  <c r="R68" i="4"/>
  <c r="Q66" i="4"/>
  <c r="R66" i="4"/>
  <c r="O66" i="4"/>
  <c r="S66" i="4"/>
  <c r="U66" i="4"/>
  <c r="T66" i="4"/>
  <c r="O77" i="4"/>
  <c r="U77" i="4"/>
  <c r="S77" i="4"/>
  <c r="Q77" i="4"/>
  <c r="R77" i="4"/>
  <c r="T77" i="4"/>
  <c r="T76" i="4"/>
  <c r="U76" i="4"/>
  <c r="O76" i="4"/>
  <c r="Q76" i="4"/>
  <c r="S76" i="4"/>
  <c r="R76" i="4"/>
  <c r="R75" i="4"/>
  <c r="S75" i="4"/>
  <c r="T75" i="4"/>
  <c r="U75" i="4"/>
  <c r="O75" i="4"/>
  <c r="Q75" i="4"/>
  <c r="Q74" i="4"/>
  <c r="U74" i="4"/>
  <c r="R74" i="4"/>
  <c r="O74" i="4"/>
  <c r="S74" i="4"/>
  <c r="T74" i="4"/>
  <c r="Q93" i="4"/>
  <c r="O93" i="4"/>
  <c r="R93" i="4"/>
  <c r="P93" i="4"/>
  <c r="Q83" i="4"/>
  <c r="O83" i="4"/>
  <c r="R83" i="4"/>
  <c r="R88" i="4"/>
  <c r="Q88" i="4"/>
  <c r="O88" i="4"/>
  <c r="Q87" i="4"/>
  <c r="R87" i="4"/>
  <c r="O87" i="4"/>
  <c r="R90" i="4"/>
  <c r="Q90" i="4"/>
  <c r="O90" i="4"/>
  <c r="R82" i="4"/>
  <c r="Q82" i="4"/>
  <c r="O82" i="4"/>
  <c r="R92" i="4"/>
  <c r="Q92" i="4"/>
  <c r="O92" i="4"/>
  <c r="Q91" i="4"/>
  <c r="O91" i="4"/>
  <c r="R91" i="4"/>
  <c r="R86" i="4"/>
  <c r="Q86" i="4"/>
  <c r="O86" i="4"/>
  <c r="R94" i="4"/>
  <c r="Q94" i="4"/>
  <c r="O94" i="4"/>
  <c r="P87" i="4"/>
  <c r="R84" i="4"/>
  <c r="Q84" i="4"/>
  <c r="O84" i="4"/>
  <c r="Q89" i="4"/>
  <c r="R89" i="4"/>
  <c r="O89" i="4"/>
  <c r="Q85" i="4"/>
  <c r="O85" i="4"/>
  <c r="R85" i="4"/>
  <c r="R96" i="4"/>
  <c r="Q96" i="4"/>
  <c r="O96" i="4"/>
  <c r="Q95" i="4"/>
  <c r="O95" i="4"/>
  <c r="R95" i="4"/>
  <c r="P53" i="4"/>
  <c r="D56" i="4"/>
  <c r="Q56" i="4" s="1"/>
  <c r="N55" i="4"/>
  <c r="D54" i="4"/>
  <c r="D120" i="4" l="1"/>
  <c r="P120" i="4"/>
  <c r="D125" i="4"/>
  <c r="P125" i="4" s="1"/>
  <c r="D130" i="4"/>
  <c r="P130" i="4" s="1"/>
  <c r="D121" i="4"/>
  <c r="P121" i="4" s="1"/>
  <c r="D134" i="4"/>
  <c r="P134" i="4" s="1"/>
  <c r="D133" i="4"/>
  <c r="P133" i="4"/>
  <c r="D127" i="4"/>
  <c r="P127" i="4" s="1"/>
  <c r="D128" i="4"/>
  <c r="P128" i="4" s="1"/>
  <c r="F124" i="4"/>
  <c r="O143" i="4"/>
  <c r="Q143" i="4"/>
  <c r="D126" i="4"/>
  <c r="O122" i="4"/>
  <c r="S122" i="4"/>
  <c r="R122" i="4"/>
  <c r="Q122" i="4"/>
  <c r="D132" i="4"/>
  <c r="P132" i="4" s="1"/>
  <c r="D129" i="4"/>
  <c r="F123" i="4"/>
  <c r="O142" i="4"/>
  <c r="Q142" i="4"/>
  <c r="F131" i="4"/>
  <c r="Q150" i="4"/>
  <c r="O150" i="4"/>
  <c r="Q54" i="4"/>
  <c r="O54" i="4"/>
  <c r="F45" i="4"/>
  <c r="I45" i="4" s="1"/>
  <c r="N45" i="4" s="1"/>
  <c r="F48" i="4"/>
  <c r="I48" i="4" s="1"/>
  <c r="F47" i="4"/>
  <c r="I47" i="4" s="1"/>
  <c r="F46" i="4"/>
  <c r="I46" i="4" s="1"/>
  <c r="S56" i="4"/>
  <c r="R56" i="4"/>
  <c r="S55" i="4"/>
  <c r="R55" i="4"/>
  <c r="S54" i="4"/>
  <c r="R54" i="4"/>
  <c r="S53" i="4"/>
  <c r="R53" i="4"/>
  <c r="N54" i="4"/>
  <c r="P54" i="4"/>
  <c r="O55" i="4"/>
  <c r="Q55" i="4"/>
  <c r="Q53" i="4"/>
  <c r="P55" i="4"/>
  <c r="N56" i="4"/>
  <c r="O56" i="4"/>
  <c r="O53" i="4"/>
  <c r="P56" i="4"/>
  <c r="N53" i="4"/>
  <c r="R129" i="4" l="1"/>
  <c r="Q129" i="4"/>
  <c r="O129" i="4"/>
  <c r="S129" i="4"/>
  <c r="Q126" i="4"/>
  <c r="O126" i="4"/>
  <c r="S126" i="4"/>
  <c r="R126" i="4"/>
  <c r="R121" i="4"/>
  <c r="Q121" i="4"/>
  <c r="O121" i="4"/>
  <c r="S121" i="4"/>
  <c r="S130" i="4"/>
  <c r="Q130" i="4"/>
  <c r="R130" i="4"/>
  <c r="O130" i="4"/>
  <c r="O120" i="4"/>
  <c r="S120" i="4"/>
  <c r="R120" i="4"/>
  <c r="Q120" i="4"/>
  <c r="D124" i="4"/>
  <c r="P124" i="4"/>
  <c r="D123" i="4"/>
  <c r="P123" i="4"/>
  <c r="O125" i="4"/>
  <c r="R125" i="4"/>
  <c r="Q125" i="4"/>
  <c r="S125" i="4"/>
  <c r="O128" i="4"/>
  <c r="R128" i="4"/>
  <c r="S128" i="4"/>
  <c r="Q128" i="4"/>
  <c r="Q134" i="4"/>
  <c r="O134" i="4"/>
  <c r="R134" i="4"/>
  <c r="S134" i="4"/>
  <c r="S132" i="4"/>
  <c r="R132" i="4"/>
  <c r="O132" i="4"/>
  <c r="Q132" i="4"/>
  <c r="D131" i="4"/>
  <c r="P131" i="4"/>
  <c r="P129" i="4"/>
  <c r="P126" i="4"/>
  <c r="S127" i="4"/>
  <c r="R127" i="4"/>
  <c r="Q127" i="4"/>
  <c r="O127" i="4"/>
  <c r="R133" i="4"/>
  <c r="O133" i="4"/>
  <c r="Q133" i="4"/>
  <c r="S133" i="4"/>
  <c r="O46" i="4"/>
  <c r="D46" i="4"/>
  <c r="F38" i="4" s="1"/>
  <c r="O47" i="4"/>
  <c r="D47" i="4"/>
  <c r="D48" i="4"/>
  <c r="F40" i="4" s="1"/>
  <c r="D45" i="4"/>
  <c r="F37" i="4" s="1"/>
  <c r="F39" i="4" l="1"/>
  <c r="AH5" i="4"/>
  <c r="O131" i="4"/>
  <c r="Q131" i="4"/>
  <c r="S131" i="4"/>
  <c r="R131" i="4"/>
  <c r="S123" i="4"/>
  <c r="O123" i="4"/>
  <c r="R123" i="4"/>
  <c r="Q123" i="4"/>
  <c r="S124" i="4"/>
  <c r="R124" i="4"/>
  <c r="Q124" i="4"/>
  <c r="O124" i="4"/>
  <c r="D40" i="4"/>
  <c r="D37" i="4"/>
  <c r="F29" i="4" s="1"/>
  <c r="D29" i="4" s="1"/>
  <c r="D39" i="4"/>
  <c r="O39" i="4"/>
  <c r="D38" i="4"/>
  <c r="P48" i="4"/>
  <c r="Q48" i="4"/>
  <c r="N48" i="4"/>
  <c r="Q45" i="4"/>
  <c r="P45" i="4"/>
  <c r="P47" i="4"/>
  <c r="Q47" i="4"/>
  <c r="N47" i="4"/>
  <c r="O48" i="4"/>
  <c r="O45" i="4"/>
  <c r="P46" i="4"/>
  <c r="N46" i="4"/>
  <c r="Q46" i="4"/>
  <c r="F31" i="4" l="1"/>
  <c r="D31" i="4" s="1"/>
  <c r="O40" i="4"/>
  <c r="F32" i="4"/>
  <c r="D32" i="4" s="1"/>
  <c r="O38" i="4"/>
  <c r="F30" i="4"/>
  <c r="D30" i="4" s="1"/>
  <c r="N39" i="4"/>
  <c r="P39" i="4"/>
  <c r="O37" i="4"/>
  <c r="N37" i="4"/>
  <c r="P37" i="4"/>
  <c r="N38" i="4"/>
  <c r="P38" i="4"/>
  <c r="P40" i="4"/>
  <c r="N40" i="4"/>
  <c r="P29" i="4" l="1"/>
  <c r="Q29" i="4"/>
  <c r="R29" i="4"/>
  <c r="N29" i="4"/>
  <c r="P31" i="4"/>
  <c r="N31" i="4"/>
  <c r="Q31" i="4"/>
  <c r="R31" i="4"/>
  <c r="O31" i="4"/>
  <c r="O29" i="4"/>
  <c r="O32" i="4" l="1"/>
  <c r="H23" i="4"/>
  <c r="D23" i="4"/>
  <c r="F15" i="4" s="1"/>
  <c r="O30" i="4"/>
  <c r="D21" i="4"/>
  <c r="F13" i="4" s="1"/>
  <c r="H21" i="4"/>
  <c r="Q32" i="4"/>
  <c r="N32" i="4"/>
  <c r="P32" i="4"/>
  <c r="R32" i="4"/>
  <c r="N30" i="4"/>
  <c r="R30" i="4"/>
  <c r="P30" i="4"/>
  <c r="Q30" i="4"/>
  <c r="F5" i="4" l="1"/>
  <c r="AF8" i="4"/>
  <c r="F7" i="4"/>
  <c r="L23" i="4"/>
  <c r="P21" i="4"/>
  <c r="D7" i="4"/>
  <c r="D5" i="4"/>
  <c r="D15" i="4"/>
  <c r="D13" i="4"/>
  <c r="Q23" i="4"/>
  <c r="O23" i="4"/>
  <c r="T21" i="4"/>
  <c r="R21" i="4"/>
  <c r="S21" i="4"/>
  <c r="R23" i="4"/>
  <c r="T23" i="4"/>
  <c r="S23" i="4"/>
  <c r="Q21" i="4"/>
  <c r="O21" i="4"/>
  <c r="H24" i="4"/>
  <c r="H22" i="4"/>
  <c r="AF11" i="4" s="1"/>
  <c r="D24" i="4"/>
  <c r="P23" i="4"/>
  <c r="D22" i="4"/>
  <c r="AE8" i="4" l="1"/>
  <c r="AE9" i="4" s="1"/>
  <c r="F8" i="4"/>
  <c r="AF14" i="4"/>
  <c r="AE5" i="4"/>
  <c r="O15" i="4"/>
  <c r="P5" i="4"/>
  <c r="S24" i="4"/>
  <c r="S22" i="4"/>
  <c r="F6" i="4"/>
  <c r="D8" i="4"/>
  <c r="R7" i="4"/>
  <c r="S7" i="4"/>
  <c r="U7" i="4"/>
  <c r="T7" i="4"/>
  <c r="Q7" i="4"/>
  <c r="P7" i="4"/>
  <c r="T5" i="4"/>
  <c r="Q5" i="4"/>
  <c r="U5" i="4"/>
  <c r="R5" i="4"/>
  <c r="S5" i="4"/>
  <c r="O5" i="4"/>
  <c r="O13" i="4"/>
  <c r="P22" i="4"/>
  <c r="F14" i="4"/>
  <c r="N13" i="4"/>
  <c r="Q13" i="4"/>
  <c r="P13" i="4"/>
  <c r="P24" i="4"/>
  <c r="F16" i="4"/>
  <c r="P15" i="4"/>
  <c r="N15" i="4"/>
  <c r="Q15" i="4"/>
  <c r="Q24" i="4"/>
  <c r="O24" i="4"/>
  <c r="R22" i="4"/>
  <c r="T22" i="4"/>
  <c r="R24" i="4"/>
  <c r="T24" i="4"/>
  <c r="Q22" i="4"/>
  <c r="O22" i="4"/>
  <c r="AE7" i="4" l="1"/>
  <c r="AE14" i="4"/>
  <c r="AE15" i="4" s="1"/>
  <c r="P8" i="4"/>
  <c r="D6" i="4"/>
  <c r="T8" i="4"/>
  <c r="U8" i="4"/>
  <c r="R8" i="4"/>
  <c r="S8" i="4"/>
  <c r="Q8" i="4"/>
  <c r="O7" i="4"/>
  <c r="D16" i="4"/>
  <c r="D14" i="4"/>
  <c r="AE11" i="4" l="1"/>
  <c r="AE12" i="4" s="1"/>
  <c r="O14" i="4"/>
  <c r="P6" i="4"/>
  <c r="Q6" i="4"/>
  <c r="S6" i="4"/>
  <c r="R6" i="4"/>
  <c r="T6" i="4"/>
  <c r="U6" i="4"/>
  <c r="O16" i="4"/>
  <c r="P14" i="4"/>
  <c r="Q14" i="4"/>
  <c r="N14" i="4"/>
  <c r="Q16" i="4"/>
  <c r="P16" i="4"/>
  <c r="N16" i="4"/>
  <c r="O6" i="4" l="1"/>
  <c r="O8" i="4" l="1"/>
  <c r="B8" i="1" l="1"/>
  <c r="B7" i="1"/>
  <c r="B6" i="1"/>
  <c r="C42" i="3"/>
  <c r="C143" i="1"/>
  <c r="C61" i="2"/>
  <c r="C33" i="2" l="1"/>
  <c r="U52" i="1" l="1"/>
  <c r="U51" i="1"/>
  <c r="M70" i="3"/>
  <c r="M69" i="3"/>
  <c r="M68" i="3"/>
  <c r="M67" i="3"/>
  <c r="C70" i="3"/>
  <c r="I239" i="1"/>
  <c r="I248" i="1"/>
  <c r="I247" i="1"/>
  <c r="C56" i="3"/>
  <c r="C61" i="3" s="1"/>
  <c r="C62" i="3" s="1"/>
  <c r="C69" i="3"/>
  <c r="C68" i="3"/>
  <c r="C67" i="3"/>
  <c r="M75" i="3"/>
  <c r="M76" i="3" s="1"/>
  <c r="C75" i="3"/>
  <c r="C76" i="3" s="1"/>
  <c r="C135" i="2"/>
  <c r="C55" i="3"/>
  <c r="C54" i="3"/>
  <c r="C53" i="3"/>
  <c r="C36" i="3"/>
  <c r="I235" i="1"/>
  <c r="C35" i="3"/>
  <c r="C34" i="3"/>
  <c r="C33" i="3"/>
  <c r="N41" i="3"/>
  <c r="C154" i="2"/>
  <c r="C153" i="2"/>
  <c r="S38" i="3"/>
  <c r="S37" i="3" s="1"/>
  <c r="P38" i="3"/>
  <c r="P37" i="3"/>
  <c r="O38" i="3"/>
  <c r="O37" i="3"/>
  <c r="N38" i="3"/>
  <c r="N37" i="3"/>
  <c r="Q38" i="3"/>
  <c r="N40" i="3"/>
  <c r="U41" i="3" s="1"/>
  <c r="R40" i="3"/>
  <c r="R41" i="3" s="1"/>
  <c r="N32" i="3"/>
  <c r="N16" i="3"/>
  <c r="N29" i="3"/>
  <c r="N31" i="3"/>
  <c r="N24" i="3"/>
  <c r="N13" i="3"/>
  <c r="N21" i="3"/>
  <c r="N23" i="3"/>
  <c r="N15" i="3"/>
  <c r="N8" i="3"/>
  <c r="N10" i="3" s="1"/>
  <c r="N6" i="3"/>
  <c r="N5" i="3"/>
  <c r="Q37" i="3" l="1"/>
  <c r="R37" i="3" s="1"/>
  <c r="K147" i="1" l="1"/>
  <c r="Y72" i="1"/>
  <c r="Y87" i="1"/>
  <c r="Y86" i="1"/>
  <c r="C41" i="3" l="1"/>
  <c r="C10" i="3"/>
  <c r="C9" i="3"/>
  <c r="C20" i="3"/>
  <c r="C21" i="3" s="1"/>
  <c r="K6" i="2"/>
  <c r="K5" i="2"/>
  <c r="C126" i="2" l="1"/>
  <c r="C141" i="2"/>
  <c r="C125" i="2"/>
  <c r="C140" i="2"/>
  <c r="C142" i="2"/>
  <c r="C107" i="2"/>
  <c r="C105" i="2"/>
  <c r="C106" i="2"/>
  <c r="C95" i="2"/>
  <c r="G5" i="2"/>
  <c r="G6" i="2"/>
  <c r="G7" i="2"/>
  <c r="G8" i="2"/>
  <c r="G10" i="2"/>
  <c r="G9" i="2"/>
  <c r="C17" i="2"/>
  <c r="C96" i="2"/>
  <c r="C81" i="2"/>
  <c r="C80" i="2"/>
  <c r="M23" i="2"/>
  <c r="F23" i="2"/>
  <c r="O27" i="2"/>
  <c r="E19" i="2"/>
  <c r="F18" i="2"/>
  <c r="C24" i="2"/>
  <c r="C47" i="2" s="1"/>
  <c r="N27" i="2"/>
  <c r="E23" i="2"/>
  <c r="M17" i="2"/>
  <c r="M26" i="2"/>
  <c r="F22" i="2"/>
  <c r="E17" i="2"/>
  <c r="D26" i="2"/>
  <c r="M21" i="2"/>
  <c r="F16" i="2"/>
  <c r="K25" i="2"/>
  <c r="E21" i="2"/>
  <c r="J25" i="2"/>
  <c r="F20" i="2"/>
  <c r="K24" i="2"/>
  <c r="M19" i="2"/>
  <c r="G27" i="2"/>
  <c r="S24" i="2"/>
  <c r="N22" i="2"/>
  <c r="N20" i="2"/>
  <c r="N18" i="2"/>
  <c r="N16" i="2"/>
  <c r="F27" i="2"/>
  <c r="R24" i="2"/>
  <c r="M22" i="2"/>
  <c r="M20" i="2"/>
  <c r="M18" i="2"/>
  <c r="C82" i="2" s="1"/>
  <c r="M16" i="2"/>
  <c r="C22" i="2"/>
  <c r="C46" i="2" s="1"/>
  <c r="L26" i="2"/>
  <c r="J24" i="2"/>
  <c r="E22" i="2"/>
  <c r="E20" i="2"/>
  <c r="E18" i="2"/>
  <c r="E16" i="2"/>
  <c r="C23" i="2"/>
  <c r="E26" i="2"/>
  <c r="N23" i="2"/>
  <c r="N21" i="2"/>
  <c r="N19" i="2"/>
  <c r="N17" i="2"/>
  <c r="F21" i="2"/>
  <c r="F19" i="2"/>
  <c r="F17" i="2"/>
  <c r="Q25" i="2"/>
  <c r="I24" i="2"/>
  <c r="D22" i="2"/>
  <c r="D20" i="2"/>
  <c r="D18" i="2"/>
  <c r="D16" i="2"/>
  <c r="C25" i="2"/>
  <c r="L27" i="2"/>
  <c r="D27" i="2"/>
  <c r="J26" i="2"/>
  <c r="P25" i="2"/>
  <c r="H25" i="2"/>
  <c r="P24" i="2"/>
  <c r="H24" i="2"/>
  <c r="K23" i="2"/>
  <c r="S22" i="2"/>
  <c r="K22" i="2"/>
  <c r="S21" i="2"/>
  <c r="K21" i="2"/>
  <c r="S20" i="2"/>
  <c r="K20" i="2"/>
  <c r="S19" i="2"/>
  <c r="K19" i="2"/>
  <c r="S18" i="2"/>
  <c r="K18" i="2"/>
  <c r="S17" i="2"/>
  <c r="K17" i="2"/>
  <c r="S16" i="2"/>
  <c r="C128" i="2" s="1"/>
  <c r="C160" i="2" s="1"/>
  <c r="K16" i="2"/>
  <c r="C7" i="2"/>
  <c r="C35" i="2" s="1"/>
  <c r="C43" i="2" s="1"/>
  <c r="E27" i="2"/>
  <c r="Q24" i="2"/>
  <c r="C114" i="2" s="1"/>
  <c r="D23" i="2"/>
  <c r="L21" i="2"/>
  <c r="L20" i="2"/>
  <c r="D19" i="2"/>
  <c r="D17" i="2"/>
  <c r="C18" i="2"/>
  <c r="C26" i="2"/>
  <c r="K27" i="2"/>
  <c r="Q26" i="2"/>
  <c r="I26" i="2"/>
  <c r="O25" i="2"/>
  <c r="G25" i="2"/>
  <c r="O24" i="2"/>
  <c r="G24" i="2"/>
  <c r="J23" i="2"/>
  <c r="R22" i="2"/>
  <c r="J22" i="2"/>
  <c r="R21" i="2"/>
  <c r="J21" i="2"/>
  <c r="R20" i="2"/>
  <c r="J20" i="2"/>
  <c r="R19" i="2"/>
  <c r="J19" i="2"/>
  <c r="R18" i="2"/>
  <c r="C130" i="2" s="1"/>
  <c r="J18" i="2"/>
  <c r="R17" i="2"/>
  <c r="C129" i="2" s="1"/>
  <c r="J17" i="2"/>
  <c r="R16" i="2"/>
  <c r="J16" i="2"/>
  <c r="C8" i="2"/>
  <c r="C108" i="2" s="1"/>
  <c r="C62" i="2"/>
  <c r="M27" i="2"/>
  <c r="I25" i="2"/>
  <c r="L23" i="2"/>
  <c r="L22" i="2"/>
  <c r="D21" i="2"/>
  <c r="L19" i="2"/>
  <c r="L18" i="2"/>
  <c r="L17" i="2"/>
  <c r="L16" i="2"/>
  <c r="C79" i="2" s="1"/>
  <c r="C19" i="2"/>
  <c r="C27" i="2"/>
  <c r="J27" i="2"/>
  <c r="P26" i="2"/>
  <c r="H26" i="2"/>
  <c r="N25" i="2"/>
  <c r="F25" i="2"/>
  <c r="N24" i="2"/>
  <c r="F24" i="2"/>
  <c r="I23" i="2"/>
  <c r="Q22" i="2"/>
  <c r="I22" i="2"/>
  <c r="Q21" i="2"/>
  <c r="I21" i="2"/>
  <c r="Q20" i="2"/>
  <c r="I20" i="2"/>
  <c r="Q19" i="2"/>
  <c r="I19" i="2"/>
  <c r="Q18" i="2"/>
  <c r="I18" i="2"/>
  <c r="Q17" i="2"/>
  <c r="I17" i="2"/>
  <c r="Q16" i="2"/>
  <c r="I16" i="2"/>
  <c r="C9" i="2"/>
  <c r="C109" i="2" s="1"/>
  <c r="C71" i="2"/>
  <c r="K26" i="2"/>
  <c r="C20" i="2"/>
  <c r="Q27" i="2"/>
  <c r="I27" i="2"/>
  <c r="O26" i="2"/>
  <c r="G26" i="2"/>
  <c r="M25" i="2"/>
  <c r="E25" i="2"/>
  <c r="M24" i="2"/>
  <c r="E24" i="2"/>
  <c r="H23" i="2"/>
  <c r="H22" i="2"/>
  <c r="P21" i="2"/>
  <c r="H21" i="2"/>
  <c r="P20" i="2"/>
  <c r="H20" i="2"/>
  <c r="P19" i="2"/>
  <c r="H19" i="2"/>
  <c r="C40" i="2" s="1"/>
  <c r="P18" i="2"/>
  <c r="H18" i="2"/>
  <c r="P17" i="2"/>
  <c r="H17" i="2"/>
  <c r="P16" i="2"/>
  <c r="H16" i="2"/>
  <c r="C10" i="2"/>
  <c r="C34" i="2" s="1"/>
  <c r="C36" i="2"/>
  <c r="C72" i="2"/>
  <c r="P22" i="2"/>
  <c r="C21" i="2"/>
  <c r="P27" i="2"/>
  <c r="H27" i="2"/>
  <c r="N26" i="2"/>
  <c r="F26" i="2"/>
  <c r="L25" i="2"/>
  <c r="D25" i="2"/>
  <c r="L24" i="2"/>
  <c r="D24" i="2"/>
  <c r="G23" i="2"/>
  <c r="C44" i="2" s="1"/>
  <c r="O22" i="2"/>
  <c r="G22" i="2"/>
  <c r="O21" i="2"/>
  <c r="G21" i="2"/>
  <c r="O20" i="2"/>
  <c r="G20" i="2"/>
  <c r="O19" i="2"/>
  <c r="G19" i="2"/>
  <c r="O18" i="2"/>
  <c r="G18" i="2"/>
  <c r="O17" i="2"/>
  <c r="G17" i="2"/>
  <c r="C42" i="2" s="1"/>
  <c r="O16" i="2"/>
  <c r="G16" i="2"/>
  <c r="C37" i="2"/>
  <c r="C18" i="3"/>
  <c r="C19" i="3" s="1"/>
  <c r="C113" i="2" l="1"/>
  <c r="C148" i="2"/>
  <c r="C147" i="2"/>
  <c r="C151" i="2"/>
  <c r="C150" i="2"/>
  <c r="C111" i="2"/>
  <c r="C119" i="2" s="1"/>
  <c r="C159" i="2" s="1"/>
  <c r="C98" i="2"/>
  <c r="C124" i="2"/>
  <c r="C99" i="2"/>
  <c r="C104" i="2"/>
  <c r="C94" i="2"/>
  <c r="C84" i="2"/>
  <c r="C89" i="2" s="1"/>
  <c r="C64" i="2"/>
  <c r="K7" i="2"/>
  <c r="C6" i="2"/>
  <c r="C70" i="2"/>
  <c r="C65" i="2"/>
  <c r="C39" i="2"/>
  <c r="C55" i="2" s="1"/>
  <c r="C60" i="2"/>
  <c r="C48" i="2"/>
  <c r="C50" i="2"/>
  <c r="C32" i="2"/>
  <c r="C5" i="2"/>
  <c r="C49" i="2"/>
  <c r="C74" i="2"/>
  <c r="C239" i="1" l="1"/>
  <c r="C235" i="1"/>
  <c r="D220" i="1"/>
  <c r="D221" i="1" s="1"/>
  <c r="D207" i="1"/>
  <c r="O183" i="1"/>
  <c r="M183" i="1"/>
  <c r="C183" i="1"/>
  <c r="D206" i="1" s="1"/>
  <c r="M182" i="1"/>
  <c r="Q181" i="1"/>
  <c r="O181" i="1"/>
  <c r="M181" i="1"/>
  <c r="M185" i="1" s="1"/>
  <c r="Q180" i="1"/>
  <c r="O180" i="1"/>
  <c r="O184" i="1" s="1"/>
  <c r="C179" i="1"/>
  <c r="C167" i="1"/>
  <c r="C166" i="1"/>
  <c r="C165" i="1"/>
  <c r="C164" i="1"/>
  <c r="C163" i="1"/>
  <c r="C162" i="1"/>
  <c r="C161" i="1"/>
  <c r="C160" i="1"/>
  <c r="C159" i="1"/>
  <c r="C158" i="1"/>
  <c r="C169" i="1" s="1"/>
  <c r="C170" i="1" s="1"/>
  <c r="C157" i="1"/>
  <c r="K156" i="1"/>
  <c r="L151" i="1"/>
  <c r="M151" i="1" s="1"/>
  <c r="M150" i="1"/>
  <c r="L147" i="1"/>
  <c r="C147" i="1"/>
  <c r="L140" i="1"/>
  <c r="K139" i="1"/>
  <c r="M138" i="1"/>
  <c r="C137" i="1"/>
  <c r="C116" i="1"/>
  <c r="L139" i="1" s="1"/>
  <c r="C115" i="1"/>
  <c r="C114" i="1"/>
  <c r="L137" i="1" s="1"/>
  <c r="C113" i="1"/>
  <c r="L143" i="1" s="1"/>
  <c r="L145" i="1" s="1"/>
  <c r="O146" i="1" s="1"/>
  <c r="C112" i="1"/>
  <c r="L134" i="1" s="1"/>
  <c r="C111" i="1"/>
  <c r="L136" i="1" s="1"/>
  <c r="C110" i="1"/>
  <c r="L135" i="1" s="1"/>
  <c r="C109" i="1"/>
  <c r="E106" i="1"/>
  <c r="F102" i="1"/>
  <c r="C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AC87" i="1"/>
  <c r="E87" i="1"/>
  <c r="AC86" i="1"/>
  <c r="E86" i="1"/>
  <c r="E85" i="1"/>
  <c r="E84" i="1"/>
  <c r="C84" i="1"/>
  <c r="E83" i="1"/>
  <c r="E82" i="1"/>
  <c r="E81" i="1"/>
  <c r="E80" i="1"/>
  <c r="E79" i="1"/>
  <c r="G71" i="1"/>
  <c r="AC70" i="1"/>
  <c r="AC69" i="1"/>
  <c r="Y69" i="1"/>
  <c r="Y67" i="1"/>
  <c r="C67" i="1"/>
  <c r="K66" i="1"/>
  <c r="AC53" i="1"/>
  <c r="Y48" i="1"/>
  <c r="AC46" i="1"/>
  <c r="D43" i="1"/>
  <c r="F41" i="1"/>
  <c r="D41" i="1"/>
  <c r="D39" i="1"/>
  <c r="D37" i="1"/>
  <c r="D35" i="1"/>
  <c r="P34" i="1"/>
  <c r="T34" i="1" s="1"/>
  <c r="I33" i="1"/>
  <c r="T32" i="1"/>
  <c r="D28" i="1"/>
  <c r="D38" i="1" s="1"/>
  <c r="AD19" i="1"/>
  <c r="AB19" i="1"/>
  <c r="AB18" i="1"/>
  <c r="AD18" i="1" s="1"/>
  <c r="L181" i="1" l="1"/>
  <c r="L185" i="1" s="1"/>
  <c r="M139" i="1"/>
  <c r="L146" i="1"/>
  <c r="C56" i="1"/>
  <c r="D40" i="1"/>
  <c r="F90" i="1"/>
  <c r="D42" i="1"/>
  <c r="G28" i="1"/>
  <c r="D34" i="1"/>
  <c r="D29" i="1"/>
  <c r="Q185" i="1"/>
  <c r="Q182" i="1"/>
  <c r="Q184" i="1"/>
  <c r="Q183" i="1"/>
  <c r="K145" i="1"/>
  <c r="M145" i="1" s="1"/>
  <c r="O145" i="1"/>
  <c r="D36" i="1"/>
  <c r="E101" i="1"/>
  <c r="L144" i="1"/>
  <c r="Y53" i="1"/>
  <c r="AC54" i="1"/>
  <c r="K102" i="1"/>
  <c r="M102" i="1" s="1"/>
  <c r="N181" i="1"/>
  <c r="L152" i="1"/>
  <c r="M152" i="1" s="1"/>
  <c r="O185" i="1"/>
  <c r="C58" i="1" l="1"/>
  <c r="N102" i="1"/>
  <c r="O102" i="1" s="1"/>
  <c r="G29" i="1"/>
  <c r="AC36" i="1"/>
  <c r="C57" i="1"/>
  <c r="P181" i="1"/>
  <c r="P185" i="1" s="1"/>
  <c r="N185" i="1"/>
  <c r="C220" i="1"/>
  <c r="C90" i="1" s="1"/>
  <c r="K90" i="1" s="1"/>
  <c r="D30" i="1"/>
  <c r="M90" i="1" l="1"/>
  <c r="N90" i="1"/>
  <c r="AC35" i="1"/>
  <c r="C66" i="1"/>
  <c r="C65" i="1" l="1"/>
  <c r="H28" i="1"/>
  <c r="C69" i="1"/>
  <c r="C148" i="1"/>
  <c r="O90" i="1"/>
  <c r="C121" i="1" l="1"/>
  <c r="C122" i="1" s="1"/>
  <c r="F82" i="1"/>
  <c r="F80" i="1"/>
  <c r="F79" i="1"/>
  <c r="H29" i="1"/>
  <c r="H30" i="1" s="1"/>
  <c r="I28" i="1"/>
  <c r="F93" i="1" l="1"/>
  <c r="G65" i="1"/>
  <c r="I29" i="1"/>
  <c r="I32" i="1"/>
  <c r="F28" i="1"/>
  <c r="L28" i="1"/>
  <c r="K82" i="1"/>
  <c r="M82" i="1" s="1"/>
  <c r="K79" i="1"/>
  <c r="M79" i="1" s="1"/>
  <c r="F83" i="1"/>
  <c r="K80" i="1"/>
  <c r="M80" i="1" s="1"/>
  <c r="F92" i="1" l="1"/>
  <c r="F29" i="1"/>
  <c r="F40" i="1"/>
  <c r="G40" i="1" s="1"/>
  <c r="E28" i="1"/>
  <c r="C223" i="1"/>
  <c r="C93" i="1" s="1"/>
  <c r="K93" i="1" s="1"/>
  <c r="I30" i="1"/>
  <c r="N79" i="1"/>
  <c r="O79" i="1" s="1"/>
  <c r="N80" i="1"/>
  <c r="O80" i="1" s="1"/>
  <c r="K83" i="1"/>
  <c r="M83" i="1" s="1"/>
  <c r="O82" i="1"/>
  <c r="G68" i="1"/>
  <c r="F84" i="1"/>
  <c r="F94" i="1"/>
  <c r="L29" i="1"/>
  <c r="M28" i="1"/>
  <c r="C151" i="1"/>
  <c r="F81" i="1" s="1"/>
  <c r="Y41" i="1"/>
  <c r="K136" i="1"/>
  <c r="M136" i="1" s="1"/>
  <c r="I34" i="1"/>
  <c r="I35" i="1" s="1"/>
  <c r="K134" i="1"/>
  <c r="M134" i="1" s="1"/>
  <c r="J28" i="1"/>
  <c r="N82" i="1"/>
  <c r="M93" i="1" l="1"/>
  <c r="N93" i="1"/>
  <c r="K135" i="1"/>
  <c r="M135" i="1" s="1"/>
  <c r="F91" i="1"/>
  <c r="E29" i="1"/>
  <c r="C59" i="1"/>
  <c r="F95" i="1"/>
  <c r="M29" i="1"/>
  <c r="AC50" i="1"/>
  <c r="L32" i="1"/>
  <c r="J32" i="1"/>
  <c r="N83" i="1"/>
  <c r="C224" i="1"/>
  <c r="C94" i="1" s="1"/>
  <c r="K94" i="1" s="1"/>
  <c r="O83" i="1"/>
  <c r="J40" i="1"/>
  <c r="K28" i="1"/>
  <c r="J29" i="1"/>
  <c r="J30" i="1" s="1"/>
  <c r="C222" i="1"/>
  <c r="C92" i="1" s="1"/>
  <c r="K92" i="1" s="1"/>
  <c r="K81" i="1"/>
  <c r="M81" i="1" s="1"/>
  <c r="H40" i="1"/>
  <c r="K84" i="1"/>
  <c r="M84" i="1" s="1"/>
  <c r="M94" i="1" l="1"/>
  <c r="N94" i="1"/>
  <c r="M92" i="1"/>
  <c r="N92" i="1"/>
  <c r="K40" i="1"/>
  <c r="K29" i="1"/>
  <c r="O84" i="1"/>
  <c r="H41" i="1"/>
  <c r="J46" i="1"/>
  <c r="J34" i="1"/>
  <c r="J35" i="1" s="1"/>
  <c r="J44" i="1"/>
  <c r="J48" i="1"/>
  <c r="J33" i="1"/>
  <c r="E52" i="1"/>
  <c r="E58" i="1" s="1"/>
  <c r="L44" i="1"/>
  <c r="L48" i="1"/>
  <c r="L33" i="1"/>
  <c r="L34" i="1"/>
  <c r="L35" i="1" s="1"/>
  <c r="L46" i="1"/>
  <c r="M32" i="1"/>
  <c r="N81" i="1"/>
  <c r="O81" i="1" s="1"/>
  <c r="C154" i="1"/>
  <c r="K140" i="1" s="1"/>
  <c r="M140" i="1" s="1"/>
  <c r="N28" i="1"/>
  <c r="N29" i="1" s="1"/>
  <c r="N31" i="1" s="1"/>
  <c r="N84" i="1"/>
  <c r="L30" i="1"/>
  <c r="O93" i="1"/>
  <c r="C225" i="1"/>
  <c r="C95" i="1" s="1"/>
  <c r="K95" i="1" s="1"/>
  <c r="I40" i="1"/>
  <c r="C221" i="1"/>
  <c r="C91" i="1" s="1"/>
  <c r="K91" i="1" s="1"/>
  <c r="E30" i="1"/>
  <c r="M91" i="1" l="1"/>
  <c r="N91" i="1"/>
  <c r="M95" i="1"/>
  <c r="N95" i="1"/>
  <c r="O29" i="1"/>
  <c r="J47" i="1"/>
  <c r="F47" i="1" s="1"/>
  <c r="F46" i="1" s="1"/>
  <c r="G46" i="1" s="1"/>
  <c r="G47" i="1" s="1"/>
  <c r="I46" i="1"/>
  <c r="I47" i="1" s="1"/>
  <c r="M44" i="1"/>
  <c r="L45" i="1"/>
  <c r="M33" i="1"/>
  <c r="K68" i="1"/>
  <c r="C133" i="1" s="1"/>
  <c r="C132" i="1" s="1"/>
  <c r="K144" i="1" s="1"/>
  <c r="M144" i="1" s="1"/>
  <c r="M34" i="1"/>
  <c r="O32" i="1"/>
  <c r="F33" i="1"/>
  <c r="K33" i="1"/>
  <c r="O92" i="1"/>
  <c r="O31" i="1"/>
  <c r="N36" i="1"/>
  <c r="N37" i="1" s="1"/>
  <c r="L47" i="1"/>
  <c r="M46" i="1"/>
  <c r="I48" i="1"/>
  <c r="I49" i="1" s="1"/>
  <c r="J49" i="1"/>
  <c r="F49" i="1" s="1"/>
  <c r="F48" i="1" s="1"/>
  <c r="G48" i="1" s="1"/>
  <c r="G49" i="1" s="1"/>
  <c r="I41" i="1"/>
  <c r="L40" i="1"/>
  <c r="M30" i="1"/>
  <c r="O30" i="1" s="1"/>
  <c r="L49" i="1"/>
  <c r="M48" i="1"/>
  <c r="J45" i="1"/>
  <c r="F45" i="1" s="1"/>
  <c r="F44" i="1" s="1"/>
  <c r="G44" i="1" s="1"/>
  <c r="G45" i="1" s="1"/>
  <c r="I44" i="1"/>
  <c r="I45" i="1" s="1"/>
  <c r="O94" i="1"/>
  <c r="M49" i="1" l="1"/>
  <c r="O48" i="1"/>
  <c r="F35" i="1"/>
  <c r="F32" i="1"/>
  <c r="O95" i="1"/>
  <c r="K32" i="1"/>
  <c r="K35" i="1"/>
  <c r="O46" i="1"/>
  <c r="M47" i="1"/>
  <c r="O44" i="1"/>
  <c r="M45" i="1"/>
  <c r="L41" i="1"/>
  <c r="M40" i="1"/>
  <c r="V32" i="1"/>
  <c r="M35" i="1"/>
  <c r="E57" i="1"/>
  <c r="E56" i="1"/>
  <c r="O34" i="1"/>
  <c r="Q32" i="1"/>
  <c r="C226" i="1"/>
  <c r="B235" i="1"/>
  <c r="B243" i="1"/>
  <c r="O24" i="1"/>
  <c r="O23" i="1"/>
  <c r="O28" i="1"/>
  <c r="O33" i="1" s="1"/>
  <c r="O91" i="1"/>
  <c r="O35" i="1" l="1"/>
  <c r="F34" i="1"/>
  <c r="G34" i="1" s="1"/>
  <c r="G35" i="1" s="1"/>
  <c r="G32" i="1"/>
  <c r="G33" i="1" s="1"/>
  <c r="F30" i="1"/>
  <c r="G30" i="1" s="1"/>
  <c r="K38" i="1"/>
  <c r="K39" i="1" s="1"/>
  <c r="J39" i="1" s="1"/>
  <c r="K48" i="1"/>
  <c r="K49" i="1" s="1"/>
  <c r="K44" i="1"/>
  <c r="K45" i="1" s="1"/>
  <c r="K46" i="1"/>
  <c r="K47" i="1" s="1"/>
  <c r="K34" i="1"/>
  <c r="K30" i="1"/>
  <c r="Q46" i="1"/>
  <c r="Q48" i="1"/>
  <c r="O66" i="1"/>
  <c r="K137" i="1" s="1"/>
  <c r="M137" i="1" s="1"/>
  <c r="Q44" i="1"/>
  <c r="Q34" i="1"/>
  <c r="R32" i="1"/>
  <c r="O45" i="1"/>
  <c r="P44" i="1"/>
  <c r="P46" i="1"/>
  <c r="O47" i="1"/>
  <c r="F96" i="1"/>
  <c r="O73" i="1"/>
  <c r="C73" i="1"/>
  <c r="F101" i="1" s="1"/>
  <c r="Q28" i="1"/>
  <c r="Q29" i="1" s="1"/>
  <c r="D59" i="1"/>
  <c r="K146" i="1"/>
  <c r="M146" i="1" s="1"/>
  <c r="M41" i="1"/>
  <c r="O40" i="1"/>
  <c r="O49" i="1"/>
  <c r="R46" i="1" l="1"/>
  <c r="Q47" i="1"/>
  <c r="J38" i="1"/>
  <c r="I38" i="1" s="1"/>
  <c r="I39" i="1" s="1"/>
  <c r="F39" i="1"/>
  <c r="F38" i="1" s="1"/>
  <c r="G38" i="1" s="1"/>
  <c r="P28" i="1"/>
  <c r="P47" i="1" s="1"/>
  <c r="L42" i="1"/>
  <c r="L36" i="1"/>
  <c r="L38" i="1"/>
  <c r="P42" i="1"/>
  <c r="R48" i="1"/>
  <c r="Q49" i="1"/>
  <c r="C230" i="1"/>
  <c r="C99" i="1" s="1"/>
  <c r="C243" i="1"/>
  <c r="R29" i="1"/>
  <c r="K101" i="1"/>
  <c r="M101" i="1" s="1"/>
  <c r="N101" i="1"/>
  <c r="R34" i="1"/>
  <c r="Q35" i="1"/>
  <c r="P48" i="1"/>
  <c r="P49" i="1" s="1"/>
  <c r="E235" i="1"/>
  <c r="C86" i="1" s="1"/>
  <c r="C85" i="1" s="1"/>
  <c r="F85" i="1"/>
  <c r="C124" i="1"/>
  <c r="C125" i="1" s="1"/>
  <c r="F86" i="1"/>
  <c r="Q33" i="1"/>
  <c r="K36" i="1"/>
  <c r="K37" i="1" s="1"/>
  <c r="J37" i="1" s="1"/>
  <c r="M141" i="1"/>
  <c r="O41" i="1"/>
  <c r="D58" i="1"/>
  <c r="K96" i="1"/>
  <c r="M96" i="1" s="1"/>
  <c r="N96" i="1"/>
  <c r="Q45" i="1"/>
  <c r="R44" i="1"/>
  <c r="K42" i="1"/>
  <c r="K43" i="1" s="1"/>
  <c r="J43" i="1" s="1"/>
  <c r="N138" i="1" l="1"/>
  <c r="K164" i="1"/>
  <c r="L154" i="1"/>
  <c r="M154" i="1" s="1"/>
  <c r="R133" i="1"/>
  <c r="N139" i="1"/>
  <c r="AA137" i="1" s="1"/>
  <c r="N134" i="1"/>
  <c r="AA133" i="1" s="1"/>
  <c r="N136" i="1"/>
  <c r="AA135" i="1" s="1"/>
  <c r="N135" i="1"/>
  <c r="N140" i="1"/>
  <c r="AA138" i="1" s="1"/>
  <c r="O96" i="1"/>
  <c r="K86" i="1"/>
  <c r="M86" i="1" s="1"/>
  <c r="T42" i="1"/>
  <c r="P43" i="1"/>
  <c r="J42" i="1"/>
  <c r="I42" i="1" s="1"/>
  <c r="I43" i="1" s="1"/>
  <c r="F43" i="1"/>
  <c r="F42" i="1" s="1"/>
  <c r="G42" i="1" s="1"/>
  <c r="R51" i="1"/>
  <c r="R35" i="1"/>
  <c r="M38" i="1"/>
  <c r="L39" i="1"/>
  <c r="R47" i="1"/>
  <c r="M42" i="1"/>
  <c r="L43" i="1"/>
  <c r="R45" i="1"/>
  <c r="F97" i="1"/>
  <c r="Y64" i="1"/>
  <c r="K71" i="1"/>
  <c r="F103" i="1" s="1"/>
  <c r="P33" i="1"/>
  <c r="P29" i="1"/>
  <c r="P35" i="1"/>
  <c r="G39" i="1"/>
  <c r="G41" i="1" s="1"/>
  <c r="H38" i="1"/>
  <c r="K85" i="1"/>
  <c r="N85" i="1" s="1"/>
  <c r="O101" i="1"/>
  <c r="P45" i="1"/>
  <c r="N137" i="1"/>
  <c r="AA136" i="1" s="1"/>
  <c r="F37" i="1"/>
  <c r="F36" i="1" s="1"/>
  <c r="G36" i="1" s="1"/>
  <c r="J36" i="1"/>
  <c r="I36" i="1" s="1"/>
  <c r="I37" i="1" s="1"/>
  <c r="R49" i="1"/>
  <c r="B248" i="1"/>
  <c r="B239" i="1"/>
  <c r="R28" i="1"/>
  <c r="C229" i="1"/>
  <c r="C98" i="1" s="1"/>
  <c r="Y82" i="1"/>
  <c r="AC84" i="1" s="1"/>
  <c r="AC82" i="1" s="1"/>
  <c r="AC83" i="1" s="1"/>
  <c r="L37" i="1"/>
  <c r="M36" i="1"/>
  <c r="N86" i="1" l="1"/>
  <c r="D56" i="1"/>
  <c r="H39" i="1"/>
  <c r="M37" i="1"/>
  <c r="O36" i="1"/>
  <c r="H42" i="1"/>
  <c r="G43" i="1"/>
  <c r="G37" i="1"/>
  <c r="H36" i="1"/>
  <c r="H37" i="1" s="1"/>
  <c r="M43" i="1"/>
  <c r="O42" i="1"/>
  <c r="N141" i="1"/>
  <c r="AA134" i="1"/>
  <c r="C134" i="1"/>
  <c r="C138" i="1" s="1"/>
  <c r="C139" i="1" s="1"/>
  <c r="AC90" i="1"/>
  <c r="AC92" i="1" s="1"/>
  <c r="AC93" i="1" s="1"/>
  <c r="C135" i="1" s="1"/>
  <c r="C227" i="1"/>
  <c r="D243" i="1"/>
  <c r="Y65" i="1"/>
  <c r="AC67" i="1" s="1"/>
  <c r="AC65" i="1" s="1"/>
  <c r="AC66" i="1" s="1"/>
  <c r="P30" i="1"/>
  <c r="P31" i="1"/>
  <c r="V9" i="1"/>
  <c r="O86" i="1"/>
  <c r="K97" i="1"/>
  <c r="M97" i="1" s="1"/>
  <c r="N97" i="1"/>
  <c r="F98" i="1"/>
  <c r="O68" i="1"/>
  <c r="T70" i="1"/>
  <c r="T72" i="1" s="1"/>
  <c r="Y81" i="1"/>
  <c r="C192" i="1"/>
  <c r="R33" i="1"/>
  <c r="K103" i="1"/>
  <c r="M103" i="1" s="1"/>
  <c r="M39" i="1"/>
  <c r="O38" i="1"/>
  <c r="V34" i="1"/>
  <c r="V36" i="1" s="1"/>
  <c r="S42" i="1"/>
  <c r="V7" i="1" l="1"/>
  <c r="W7" i="1" s="1"/>
  <c r="Q30" i="1"/>
  <c r="R30" i="1" s="1"/>
  <c r="O97" i="1"/>
  <c r="K98" i="1"/>
  <c r="M98" i="1" s="1"/>
  <c r="O98" i="1" s="1"/>
  <c r="N98" i="1"/>
  <c r="Q42" i="1"/>
  <c r="O43" i="1"/>
  <c r="C212" i="1"/>
  <c r="C211" i="1" s="1"/>
  <c r="I176" i="1"/>
  <c r="C136" i="1"/>
  <c r="M147" i="1"/>
  <c r="V38" i="1"/>
  <c r="D57" i="1"/>
  <c r="H43" i="1"/>
  <c r="N103" i="1"/>
  <c r="O103" i="1" s="1"/>
  <c r="O39" i="1"/>
  <c r="E248" i="1"/>
  <c r="C89" i="1" s="1"/>
  <c r="F89" i="1"/>
  <c r="O37" i="1"/>
  <c r="C140" i="1"/>
  <c r="AC73" i="1"/>
  <c r="AC75" i="1" s="1"/>
  <c r="AC76" i="1" s="1"/>
  <c r="C141" i="1" s="1"/>
  <c r="C127" i="1"/>
  <c r="C128" i="1" s="1"/>
  <c r="C129" i="1" s="1"/>
  <c r="K143" i="1" s="1"/>
  <c r="M143" i="1" s="1"/>
  <c r="E239" i="1"/>
  <c r="C87" i="1" s="1"/>
  <c r="F87" i="1"/>
  <c r="V8" i="1"/>
  <c r="W8" i="1" s="1"/>
  <c r="Q31" i="1"/>
  <c r="R31" i="1" s="1"/>
  <c r="P36" i="1"/>
  <c r="P37" i="1" s="1"/>
  <c r="K87" i="1" l="1"/>
  <c r="M87" i="1" s="1"/>
  <c r="Q36" i="1"/>
  <c r="W9" i="1"/>
  <c r="K89" i="1"/>
  <c r="M89" i="1" s="1"/>
  <c r="N89" i="1"/>
  <c r="M148" i="1"/>
  <c r="N143" i="1" s="1"/>
  <c r="O142" i="1"/>
  <c r="V40" i="1"/>
  <c r="Q38" i="1" s="1"/>
  <c r="R42" i="1"/>
  <c r="Q43" i="1"/>
  <c r="N147" i="1" l="1"/>
  <c r="AC134" i="1" s="1"/>
  <c r="Z9" i="1"/>
  <c r="X8" i="1"/>
  <c r="R134" i="1"/>
  <c r="K165" i="1"/>
  <c r="N145" i="1"/>
  <c r="N144" i="1"/>
  <c r="N148" i="1" s="1"/>
  <c r="N146" i="1"/>
  <c r="L157" i="1"/>
  <c r="M157" i="1" s="1"/>
  <c r="Q37" i="1"/>
  <c r="R36" i="1"/>
  <c r="O87" i="1"/>
  <c r="O89" i="1"/>
  <c r="N87" i="1"/>
  <c r="Q39" i="1"/>
  <c r="R38" i="1"/>
  <c r="P38" i="1"/>
  <c r="R43" i="1"/>
  <c r="L179" i="1"/>
  <c r="X7" i="1"/>
  <c r="AC133" i="1" l="1"/>
  <c r="L178" i="1"/>
  <c r="R39" i="1"/>
  <c r="L184" i="1"/>
  <c r="N179" i="1"/>
  <c r="L177" i="1"/>
  <c r="R37" i="1"/>
  <c r="AG14" i="1"/>
  <c r="AD8" i="1"/>
  <c r="AA8" i="1" s="1"/>
  <c r="Z8" i="1" s="1"/>
  <c r="Y8" i="1" s="1"/>
  <c r="T38" i="1"/>
  <c r="P39" i="1"/>
  <c r="S38" i="1"/>
  <c r="X9" i="1"/>
  <c r="AG13" i="1"/>
  <c r="AG15" i="1" s="1"/>
  <c r="AD7" i="1"/>
  <c r="AC9" i="1"/>
  <c r="AF5" i="1" l="1"/>
  <c r="T8" i="1"/>
  <c r="S31" i="1"/>
  <c r="S36" i="1" s="1"/>
  <c r="N184" i="1"/>
  <c r="P179" i="1"/>
  <c r="P184" i="1" s="1"/>
  <c r="N177" i="1"/>
  <c r="L182" i="1"/>
  <c r="AC8" i="1"/>
  <c r="AB8" i="1" s="1"/>
  <c r="T31" i="1" s="1"/>
  <c r="AC7" i="1"/>
  <c r="AB7" i="1" s="1"/>
  <c r="AA7" i="1"/>
  <c r="AD9" i="1"/>
  <c r="L183" i="1"/>
  <c r="N178" i="1"/>
  <c r="AA9" i="1" l="1"/>
  <c r="Z7" i="1"/>
  <c r="Y7" i="1" s="1"/>
  <c r="P177" i="1"/>
  <c r="P182" i="1" s="1"/>
  <c r="N182" i="1"/>
  <c r="AB9" i="1"/>
  <c r="T29" i="1" s="1"/>
  <c r="T30" i="1"/>
  <c r="T36" i="1"/>
  <c r="N183" i="1"/>
  <c r="P178" i="1"/>
  <c r="P183" i="1" s="1"/>
  <c r="L188" i="1" l="1"/>
  <c r="B247" i="1"/>
  <c r="C231" i="1"/>
  <c r="C100" i="1" s="1"/>
  <c r="T28" i="1"/>
  <c r="L190" i="1"/>
  <c r="T23" i="1"/>
  <c r="L189" i="1"/>
  <c r="Y9" i="1"/>
  <c r="T7" i="1"/>
  <c r="S30" i="1"/>
  <c r="T24" i="1"/>
  <c r="F100" i="1" l="1"/>
  <c r="C191" i="1"/>
  <c r="C210" i="1" s="1"/>
  <c r="T65" i="1"/>
  <c r="T33" i="1"/>
  <c r="T35" i="1"/>
  <c r="T43" i="1"/>
  <c r="T9" i="1"/>
  <c r="S29" i="1"/>
  <c r="S28" i="1" s="1"/>
  <c r="F88" i="1" l="1"/>
  <c r="T67" i="1"/>
  <c r="E247" i="1" s="1"/>
  <c r="C88" i="1" s="1"/>
  <c r="F99" i="1"/>
  <c r="S35" i="1"/>
  <c r="S33" i="1"/>
  <c r="S43" i="1"/>
  <c r="S39" i="1"/>
  <c r="T39" i="1"/>
  <c r="S37" i="1"/>
  <c r="T37" i="1"/>
  <c r="D198" i="1"/>
  <c r="C209" i="1"/>
  <c r="K100" i="1"/>
  <c r="M100" i="1" s="1"/>
  <c r="K99" i="1" l="1"/>
  <c r="M99" i="1" s="1"/>
  <c r="N100" i="1"/>
  <c r="O100" i="1"/>
  <c r="M198" i="1"/>
  <c r="E198" i="1"/>
  <c r="L198" i="1"/>
  <c r="K198" i="1"/>
  <c r="I198" i="1"/>
  <c r="G198" i="1"/>
  <c r="J198" i="1"/>
  <c r="H198" i="1"/>
  <c r="F198" i="1"/>
  <c r="K88" i="1"/>
  <c r="M88" i="1" s="1"/>
  <c r="N88" i="1"/>
  <c r="O88" i="1" l="1"/>
  <c r="N99" i="1"/>
  <c r="O99" i="1"/>
  <c r="O104" i="1" l="1"/>
  <c r="P99" i="1" s="1"/>
  <c r="L108" i="1" l="1"/>
  <c r="P85" i="1"/>
  <c r="L153" i="1"/>
  <c r="M153" i="1" s="1"/>
  <c r="P102" i="1"/>
  <c r="P90" i="1"/>
  <c r="P80" i="1"/>
  <c r="P79" i="1"/>
  <c r="P82" i="1"/>
  <c r="P83" i="1"/>
  <c r="P84" i="1"/>
  <c r="P93" i="1"/>
  <c r="P81" i="1"/>
  <c r="P94" i="1"/>
  <c r="P92" i="1"/>
  <c r="P95" i="1"/>
  <c r="P91" i="1"/>
  <c r="P96" i="1"/>
  <c r="P101" i="1"/>
  <c r="P86" i="1"/>
  <c r="P103" i="1"/>
  <c r="P97" i="1"/>
  <c r="P98" i="1"/>
  <c r="P89" i="1"/>
  <c r="P87" i="1"/>
  <c r="P100" i="1"/>
  <c r="P88" i="1"/>
  <c r="P104" i="1" l="1"/>
  <c r="L155" i="1"/>
  <c r="M155" i="1" s="1"/>
  <c r="L158" i="1" s="1"/>
  <c r="M158" i="1" s="1"/>
  <c r="L156" i="1"/>
  <c r="M156" i="1" s="1"/>
  <c r="L118" i="1"/>
  <c r="L112" i="1"/>
  <c r="L109" i="1"/>
  <c r="L117" i="1"/>
  <c r="L114" i="1"/>
  <c r="L120" i="1"/>
  <c r="L116" i="1"/>
  <c r="L119" i="1"/>
  <c r="L110" i="1"/>
  <c r="L111" i="1"/>
  <c r="L115" i="1"/>
  <c r="L113" i="1"/>
  <c r="L129" i="1" l="1"/>
  <c r="M159" i="1"/>
  <c r="N158" i="1" s="1"/>
  <c r="AE141" i="1" s="1"/>
  <c r="L121" i="1"/>
  <c r="M116" i="1" s="1"/>
  <c r="M112" i="1" l="1"/>
  <c r="M113" i="1"/>
  <c r="M120" i="1"/>
  <c r="N155" i="1"/>
  <c r="AE138" i="1" s="1"/>
  <c r="N156" i="1"/>
  <c r="AE139" i="1" s="1"/>
  <c r="M109" i="1"/>
  <c r="M115" i="1"/>
  <c r="M119" i="1"/>
  <c r="M117" i="1"/>
  <c r="L126" i="1"/>
  <c r="M108" i="1"/>
  <c r="K166" i="1"/>
  <c r="N150" i="1"/>
  <c r="R135" i="1"/>
  <c r="N151" i="1"/>
  <c r="AE134" i="1" s="1"/>
  <c r="N152" i="1"/>
  <c r="AE135" i="1" s="1"/>
  <c r="N154" i="1"/>
  <c r="AE137" i="1" s="1"/>
  <c r="C177" i="1"/>
  <c r="N157" i="1"/>
  <c r="AE140" i="1" s="1"/>
  <c r="N153" i="1"/>
  <c r="AE136" i="1" s="1"/>
  <c r="M118" i="1"/>
  <c r="M111" i="1"/>
  <c r="M114" i="1"/>
  <c r="M110" i="1"/>
  <c r="M121" i="1" l="1"/>
  <c r="R136" i="1"/>
  <c r="S135" i="1" s="1"/>
  <c r="D199" i="1"/>
  <c r="V134" i="1"/>
  <c r="L127" i="1"/>
  <c r="L128" i="1"/>
  <c r="AE133" i="1"/>
  <c r="N159" i="1"/>
  <c r="C176" i="1" l="1"/>
  <c r="K199" i="1"/>
  <c r="K200" i="1" s="1"/>
  <c r="K201" i="1" s="1"/>
  <c r="J199" i="1"/>
  <c r="J200" i="1" s="1"/>
  <c r="J201" i="1" s="1"/>
  <c r="I199" i="1"/>
  <c r="I200" i="1" s="1"/>
  <c r="I201" i="1" s="1"/>
  <c r="G199" i="1"/>
  <c r="G200" i="1" s="1"/>
  <c r="G201" i="1" s="1"/>
  <c r="M199" i="1"/>
  <c r="M200" i="1" s="1"/>
  <c r="M201" i="1" s="1"/>
  <c r="E199" i="1"/>
  <c r="E200" i="1" s="1"/>
  <c r="E201" i="1" s="1"/>
  <c r="F199" i="1"/>
  <c r="F200" i="1" s="1"/>
  <c r="F201" i="1" s="1"/>
  <c r="L199" i="1"/>
  <c r="L200" i="1" s="1"/>
  <c r="L201" i="1" s="1"/>
  <c r="H199" i="1"/>
  <c r="H200" i="1" s="1"/>
  <c r="H201" i="1" s="1"/>
  <c r="D200" i="1"/>
  <c r="D201" i="1" s="1"/>
  <c r="S133" i="1"/>
  <c r="S134" i="1"/>
  <c r="L130" i="1"/>
  <c r="K163" i="1" l="1"/>
  <c r="M129" i="1"/>
  <c r="M126" i="1"/>
  <c r="C197" i="1"/>
  <c r="C203" i="1" s="1"/>
  <c r="V133" i="1"/>
  <c r="K172" i="1"/>
  <c r="C181" i="1"/>
  <c r="M128" i="1"/>
  <c r="M127" i="1"/>
  <c r="C182" i="1" l="1"/>
  <c r="I177" i="1"/>
  <c r="V135" i="1"/>
  <c r="W134" i="1" s="1"/>
  <c r="M130" i="1"/>
  <c r="K167" i="1"/>
  <c r="L163" i="1" s="1"/>
  <c r="C206" i="1" l="1"/>
  <c r="N99" i="2"/>
  <c r="W133" i="1"/>
  <c r="K169" i="1"/>
  <c r="L164" i="1"/>
  <c r="L165" i="1"/>
  <c r="L166" i="1"/>
  <c r="L167" i="1" l="1"/>
  <c r="K171" i="1"/>
  <c r="K1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tc={DE29C786-67E1-4943-B401-EAEB34D94B5E}</author>
    <author>tc={6B594E60-2647-4C41-9DB8-4862734FB5A7}</author>
    <author>tc={17DB100F-C671-40A2-96EA-02292C3106E1}</author>
    <author>tc={1E0C0FD7-5BCE-4EA6-9847-80934AAC1083}</author>
    <author>tc={BB44A039-A951-4403-A62E-07713B823741}</author>
    <author>tc={B31DD9D3-DE32-4F03-B9A9-2F051061075D}</author>
    <author>tc={F6F34502-F244-4667-B48C-B6ED7362AB38}</author>
    <author>tc={ED5871EF-493D-4FC4-8961-F58BE6BFAD8C}</author>
    <author>tc={11013611-6E34-4E54-97D1-394DEAB51EA6}</author>
    <author>tc={0FBC80F8-3378-4D42-A482-3BBD8EB1BF39}</author>
    <author>tc={DBC7B904-179F-4D96-941D-4FB1760863E3}</author>
    <author>tc={DF617806-E2FF-409D-824D-0D8517CE6876}</author>
    <author>tc={571EE9D9-652A-4E0C-B7A1-6A59EA646377}</author>
    <author>tc={DD808533-F858-4A01-8887-5E54897E2A07}</author>
    <author>tc={97ACEC5D-386B-4AD3-A98B-8B6A36B3B4DC}</author>
    <author>tc={F9B0A8A5-EB9E-45B5-8ABC-A9934B7320AD}</author>
    <author>tc={797B9D71-72F2-40B7-A85D-8CBDFE5FEFA8}</author>
    <author>tc={0E2FE923-801F-4EAE-92B8-C78BEFD30EA0}</author>
    <author>tc={776777BD-9677-40DD-BFEC-44387E0FC78C}</author>
    <author>tc={B9CF54AF-6452-41E5-834D-F869EB2F4485}</author>
    <author>tc={6FF1728C-6D90-421C-90B3-C08761F9DE6D}</author>
    <author>tc={A54C85D6-E228-4952-851D-6C384FB20423}</author>
    <author>tc={DE8941B9-BB7B-4DC2-A531-ED31766FC48C}</author>
    <author>tc={569E517D-FBE5-4F0A-8F89-A28B7E5A92F0}</author>
    <author>tc={ED1C24FA-08E5-4269-A29A-334B7F281AD6}</author>
    <author>usuario</author>
    <author>tc={F3161AEE-31AE-4DB6-9C5E-5208FFA2117E}</author>
    <author>tc={F5B3F917-3316-4CCF-8985-D0A0ED184D6D}</author>
    <author>tc={C3E5B0E4-F179-448A-B504-32DDF0B13731}</author>
    <author>tc={4760350E-DBA1-47A6-B515-EDADD230EB23}</author>
    <author>tc={2A698B21-E82C-4149-9099-B6104F0F4768}</author>
    <author>tc={EB1BA3E5-7F17-4860-AE2A-94481D20F93F}</author>
    <author>tc={740FF312-68C4-4540-90EF-AB41A81DC256}</author>
    <author>tc={F8E704C5-B4C6-4731-82E6-DE5D1A941485}</author>
    <author>tc={78BFF717-9C5F-4BFA-9BD4-A8245F8F7467}</author>
    <author>tc={8A426662-C026-4E7C-B06D-DEB036DA6972}</author>
    <author>tc={F6C1A30E-2D19-4A0D-89ED-236C662D0842}</author>
    <author>tc={62E903F1-A4D4-4EFD-8302-66A221FD86DC}</author>
    <author>tc={E44C3FAA-2EAD-48BC-AD66-3753ACCEEC62}</author>
  </authors>
  <commentList>
    <comment ref="N5" authorId="0" shapeId="0" xr:uid="{DE29C786-67E1-4943-B401-EAEB34D94B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 (datos Almería?)</t>
      </text>
    </comment>
    <comment ref="AB11" authorId="1" shapeId="0" xr:uid="{6B594E60-2647-4C41-9DB8-4862734FB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https://ceta.zaragoza.unam.mx/wp-content/recursosi/calculadoras/constantes-de-antonio/constantes-de-antonio.htm</t>
      </text>
    </comment>
    <comment ref="F26" authorId="2" shapeId="0" xr:uid="{17DB100F-C671-40A2-96EA-02292C3106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Mismas concentraciones que Q7 y Q8</t>
      </text>
    </comment>
    <comment ref="J26" authorId="3" shapeId="0" xr:uid="{1E0C0FD7-5BCE-4EA6-9847-80934AAC10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Concentraciones igual que la purga (para sacar los flujos másicos)</t>
      </text>
    </comment>
    <comment ref="X26" authorId="4" shapeId="0" xr:uid="{BB44A039-A951-4403-A62E-07713B8237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B26" authorId="5" shapeId="0" xr:uid="{B31DD9D3-DE32-4F03-B9A9-2F05106107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Excel de Rubén</t>
      </text>
    </comment>
    <comment ref="O27" authorId="6" shapeId="0" xr:uid="{F6F34502-F244-4667-B48C-B6ED7362AB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ha añadido acetona</t>
      </text>
    </comment>
    <comment ref="G28" authorId="7" shapeId="0" xr:uid="{ED5871EF-493D-4FC4-8961-F58BE6BFAD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entrada al reactor tiene que ser una dilución del purín del 10%</t>
      </text>
    </comment>
    <comment ref="D30" authorId="8" shapeId="0" xr:uid="{11013611-6E34-4E54-97D1-394DEAB51E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al total sólo los sólidos</t>
      </text>
    </comment>
    <comment ref="Y32" authorId="9" shapeId="0" xr:uid="{0FBC80F8-3378-4D42-A482-3BBD8EB1BF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Excel de Rubén</t>
      </text>
    </comment>
    <comment ref="X34" authorId="10" shapeId="0" xr:uid="{DBC7B904-179F-4D96-941D-4FB1760863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C35" authorId="11" shapeId="0" xr:uid="{DF617806-E2FF-409D-824D-0D8517CE68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Area calculado según Excel Rubén</t>
      </text>
    </comment>
    <comment ref="L36" authorId="12" shapeId="0" xr:uid="{571EE9D9-652A-4E0C-B7A1-6A59EA6463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Suma del TOC de la alga y lo que no se ha eliminado en el sistema.
Se hace igual para el TN y el TP</t>
      </text>
    </comment>
    <comment ref="AB38" authorId="13" shapeId="0" xr:uid="{DD808533-F858-4A01-8887-5E54897E2A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H40" authorId="14" shapeId="0" xr:uid="{97ACEC5D-386B-4AD3-A98B-8B6A36B3B4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Pérdidas del 10% (buscar referencia de reactor que mida eso)</t>
      </text>
    </comment>
    <comment ref="J41" authorId="15" shapeId="0" xr:uid="{F9B0A8A5-EB9E-45B5-8ABC-A9934B7320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obtenido del Ecxel de Ruben y confirmado por Silvia 10/10/22</t>
      </text>
    </comment>
    <comment ref="X43" authorId="16" shapeId="0" xr:uid="{797B9D71-72F2-40B7-A85D-8CBDFE5FEF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B43" authorId="17" shapeId="0" xr:uid="{0E2FE923-801F-4EAE-92B8-C78BEFD30E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Y47" authorId="18" shapeId="0" xr:uid="{776777BD-9677-40DD-BFEC-44387E0FC7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</t>
      </text>
    </comment>
    <comment ref="AB48" authorId="19" shapeId="0" xr:uid="{B9CF54AF-6452-41E5-834D-F869EB2F44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C52" authorId="20" shapeId="0" xr:uid="{6FF1728C-6D90-421C-90B3-C08761F9DE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</t>
      </text>
    </comment>
    <comment ref="Y55" authorId="21" shapeId="0" xr:uid="{A54C85D6-E228-4952-851D-6C384FB204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 concentración que usamos nosotros</t>
      </text>
    </comment>
    <comment ref="J78" authorId="22" shapeId="0" xr:uid="{DE8941B9-BB7B-4DC2-A531-ED31766FC4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Meter aquí las bombas</t>
      </text>
    </comment>
    <comment ref="K107" authorId="23" shapeId="0" xr:uid="{569E517D-FBE5-4F0A-8F89-A28B7E5A92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Valores medios</t>
      </text>
    </comment>
    <comment ref="D110" authorId="24" shapeId="0" xr:uid="{ED1C24FA-08E5-4269-A29A-334B7F281A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Victor</t>
      </text>
    </comment>
    <comment ref="D117" authorId="25" shapeId="0" xr:uid="{6AADD6EC-C2C8-4DFB-BC1E-9DAD2A86CA4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https://www.chemanalyst.com/Pricing-data/acetone-12</t>
        </r>
      </text>
    </comment>
    <comment ref="D118" authorId="26" shapeId="0" xr:uid="{F3161AEE-31AE-4DB6-9C5E-5208FFA211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Perez 2021</t>
      </text>
    </comment>
    <comment ref="D138" authorId="27" shapeId="0" xr:uid="{F5B3F917-3316-4CCF-8985-D0A0ED184D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Mirar cuanto sube la temperatura</t>
      </text>
    </comment>
    <comment ref="L138" authorId="28" shapeId="0" xr:uid="{C3E5B0E4-F179-448A-B504-32DDF0B137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https://www.kochseparation.com/technologies/membrane-filtration/puron-mbr-and-pulsion-mbr-modules/#datasheets</t>
      </text>
    </comment>
    <comment ref="D139" authorId="29" shapeId="0" xr:uid="{4760350E-DBA1-47A6-B515-EDADD230EB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https://www.ingenierosindustriales.com/calculo-del-caudal-de-agua-en-instalaciones-de-calefaccion-o-climatizacion/</t>
      </text>
    </comment>
    <comment ref="D142" authorId="30" shapeId="0" xr:uid="{2A698B21-E82C-4149-9099-B6104F0F47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de Grabriel (memoria Greenfarm)</t>
      </text>
    </comment>
    <comment ref="K174" authorId="31" shapeId="0" xr:uid="{EB1BA3E5-7F17-4860-AE2A-94481D20F9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Fertiberia 
https://fercampo.com/catalogo-de-productos/nutricion-vegetal/fertilizantes-liquidos/</t>
      </text>
    </comment>
    <comment ref="M176" authorId="32" shapeId="0" xr:uid="{740FF312-68C4-4540-90EF-AB41A81DC25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https://www.fertiberia.com/es/agricultura/productos/categorias/foliar/especiales/energrow-green-mo/</t>
      </text>
    </comment>
    <comment ref="O176" authorId="33" shapeId="0" xr:uid="{F8E704C5-B4C6-4731-82E6-DE5D1A9414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https://www.fertiberia.com/es/agricultura/productos/categorias/foliar/complejos/glugel-12-24-12/</t>
      </text>
    </comment>
    <comment ref="Q176" authorId="34" shapeId="0" xr:uid="{78BFF717-9C5F-4BFA-9BD4-A8245F8F74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https://fercampo.com/catalogo-de-productos/nutricion-vegetal/fertilizantes-liquidos/</t>
      </text>
    </comment>
    <comment ref="M180" authorId="35" shapeId="0" xr:uid="{8A426662-C026-4E7C-B06D-DEB036DA69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año</t>
      </text>
    </comment>
    <comment ref="O180" authorId="36" shapeId="0" xr:uid="{F6C1A30E-2D19-4A0D-89ED-236C662D08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mes son 5L/ha</t>
      </text>
    </comment>
    <comment ref="Q180" authorId="37" shapeId="0" xr:uid="{62E903F1-A4D4-4EFD-8302-66A221FD86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mes son 5L/ha</t>
      </text>
    </comment>
    <comment ref="D220" authorId="38" shapeId="0" xr:uid="{E44C3FAA-2EAD-48BC-AD66-3753ACCEEC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Altura depósito purin = 3m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tc={C632821D-AB02-4993-9738-FE0C879F2019}</author>
    <author>tc={7B3FB2C6-6AD5-40A8-BC53-33F91FAB49AB}</author>
    <author>tc={E0FAB1CC-21C0-41DF-B420-BCB09C5A5744}</author>
    <author>tc={8AD1A69F-1C13-423F-81F6-0A3C9BE6334B}</author>
    <author>tc={866FA97F-DA7A-45E0-9335-B089B1118633}</author>
    <author>tc={0693E2F3-76E5-4FF9-B56B-4837BA8FB3BD}</author>
    <author>tc={4F7F6E43-399F-4290-8FDC-172EBA54921A}</author>
    <author>tc={DF6FB86F-6595-4C08-A337-05B466E18EE0}</author>
  </authors>
  <commentList>
    <comment ref="B6" authorId="0" shapeId="0" xr:uid="{C632821D-AB02-4993-9738-FE0C879F20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GFRP (glass fiber reinforced polymer)
Abreviatura de https://www.sciencedirect.com/science/article/pii/S2092678222000280</t>
      </text>
    </comment>
    <comment ref="N6" authorId="1" shapeId="0" xr:uid="{7B3FB2C6-6AD5-40A8-BC53-33F91FAB49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Media entre escenario 1 y 2</t>
      </text>
    </comment>
    <comment ref="B13" authorId="2" shapeId="0" xr:uid="{E0FAB1CC-21C0-41DF-B420-BCB09C5A57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Low density polyethylene resin, at plant/RNA</t>
      </text>
    </comment>
    <comment ref="S36" authorId="3" shapeId="0" xr:uid="{8AD1A69F-1C13-423F-81F6-0A3C9BE633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Flujo total de producto (no tiene en cuenta la ha)</t>
      </text>
    </comment>
    <comment ref="E38" authorId="4" shapeId="0" xr:uid="{866FA97F-DA7A-45E0-9335-B089B11186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E58" authorId="5" shapeId="0" xr:uid="{0693E2F3-76E5-4FF9-B56B-4837BA8FB3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E72" authorId="6" shapeId="0" xr:uid="{4F7F6E43-399F-4290-8FDC-172EBA5492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O72" authorId="7" shapeId="0" xr:uid="{DF6FB86F-6595-4C08-A337-05B466E18E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tc={5E312466-4F96-4695-A136-7D3A5B3F2464}</author>
    <author>tc={2D0BB85F-2FE3-46BE-9A81-6DE58E7A0F22}</author>
    <author>tc={9CCD06D8-FE52-492F-B836-F55ABCD4ACD4}</author>
    <author>tc={71BE5242-88D7-4929-B18F-455008B54FFE}</author>
    <author>tc={3C603564-E5BC-4D75-AAA0-8CC3038AC443}</author>
    <author>tc={F76B6298-DE62-4173-975C-D60A523ED88F}</author>
    <author>tc={82AD714C-6171-4704-97D9-EA77A75C4312}</author>
    <author>tc={E2488734-4C3C-4A0C-92DD-8B884819156D}</author>
    <author>tc={875586DE-3AC8-40A4-809E-73AC87B9C924}</author>
    <author>tc={7B247FE2-5FDD-4F4C-9E39-C05AFB4695E8}</author>
    <author>tc={FE793817-E118-4E17-B810-F0377E532FEA}</author>
    <author>tc={94BEC9D3-18CF-45F7-9196-3DEF2895C060}</author>
    <author>tc={6145785F-DF89-47BC-AB53-5E8E187C22DA}</author>
    <author>tc={5CE0FCBC-A552-491A-9639-5D23D34BBEBD}</author>
    <author>tc={975F4C73-D39F-46E6-8009-178DD5FF3300}</author>
    <author>tc={F9BACEB8-5E87-439C-8DC9-DF6452708B82}</author>
    <author>tc={D844D2B0-365A-4BD6-BF87-31DAC9E1BDBB}</author>
    <author>tc={07DF28AD-D030-4CFB-BCD7-0FC9D2B3DB91}</author>
    <author>tc={76AF9083-5F5E-482A-B5CE-4D3ABB2ABF0A}</author>
    <author>tc={3AAD9005-11B5-4E87-B820-1AE2508D001B}</author>
    <author>tc={5EAF4563-8FB3-409F-AFEF-0440CECBD43E}</author>
    <author>tc={4E1088E7-8428-439E-A87B-A0BA4578FABD}</author>
  </authors>
  <commentList>
    <comment ref="E14" authorId="0" shapeId="0" xr:uid="{5E312466-4F96-4695-A136-7D3A5B3F24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Mismas concentraciones que Q7 y Q8</t>
      </text>
    </comment>
    <comment ref="I14" authorId="1" shapeId="0" xr:uid="{2D0BB85F-2FE3-46BE-9A81-6DE58E7A0F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Concentraciones igual que la purga (para sacar los flujos másicos)</t>
      </text>
    </comment>
    <comment ref="N15" authorId="2" shapeId="0" xr:uid="{9CCD06D8-FE52-492F-B836-F55ABCD4AC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ha añadido acetona</t>
      </text>
    </comment>
    <comment ref="B29" authorId="3" shapeId="0" xr:uid="{71BE5242-88D7-4929-B18F-455008B54F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"Microalgae cultivation Q6"</t>
      </text>
    </comment>
    <comment ref="E35" authorId="4" shapeId="0" xr:uid="{3C603564-E5BC-4D75-AAA0-8CC3038AC4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casi igual que el flue, además la base de datos es con waste gases</t>
      </text>
    </comment>
    <comment ref="C40" authorId="5" shapeId="0" xr:uid="{F76B6298-DE62-4173-975C-D60A523ED8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hace falta meterlo, está incluido dentro del flujo Q6</t>
      </text>
    </comment>
    <comment ref="B41" authorId="6" shapeId="0" xr:uid="{82AD714C-6171-4704-97D9-EA77A75C431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https://www.mdpi.com/2304-8158/11/19/3053
Hernández 2022
</t>
      </text>
    </comment>
    <comment ref="C43" authorId="7" shapeId="0" xr:uid="{E2488734-4C3C-4A0C-92DD-8B88481915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Venancio 2020, eficacia de fijación de CO2 = 62%</t>
      </text>
    </comment>
    <comment ref="B45" authorId="8" shapeId="0" xr:uid="{875586DE-3AC8-40A4-809E-73AC87B9C9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 "In the cultivation stage, total N, total P, and water avoided due to the use of effluent as a cultivation medium were considered".
Nutrientes no emitidos al medioambiente (tabla 3)</t>
      </text>
    </comment>
    <comment ref="B57" authorId="9" shapeId="0" xr:uid="{7B247FE2-5FDD-4F4C-9E39-C05AFB4695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"Biomass Harvesting Q9"</t>
      </text>
    </comment>
    <comment ref="B64" authorId="10" shapeId="0" xr:uid="{FE793817-E118-4E17-B810-F0377E532F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Emisión evitada</t>
      </text>
    </comment>
    <comment ref="B67" authorId="11" shapeId="0" xr:uid="{94BEC9D3-18CF-45F7-9196-3DEF2895C0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"US pretreatment (Q10)"</t>
      </text>
    </comment>
    <comment ref="B76" authorId="12" shapeId="0" xr:uid="{6145785F-DF89-47BC-AB53-5E8E187C22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"US pretreatment (Q10)"</t>
      </text>
    </comment>
    <comment ref="B91" authorId="13" shapeId="0" xr:uid="{5CE0FCBC-A552-491A-9639-5D23D34BBE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"Biomass Harvesting Q9"</t>
      </text>
    </comment>
    <comment ref="N97" authorId="14" shapeId="0" xr:uid="{975F4C73-D39F-46E6-8009-178DD5FF33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https://onlinelibrary.wiley.com/doi/full/10.1111/j.1530-9290.2011.00434.x</t>
      </text>
    </comment>
    <comment ref="B98" authorId="15" shapeId="0" xr:uid="{F9BACEB8-5E87-439C-8DC9-DF6452708B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Emisión evitada</t>
      </text>
    </comment>
    <comment ref="B101" authorId="16" shapeId="0" xr:uid="{D844D2B0-365A-4BD6-BF87-31DAC9E1BD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"Biostimulant production (Q11)"</t>
      </text>
    </comment>
    <comment ref="B108" authorId="17" shapeId="0" xr:uid="{07DF28AD-D030-4CFB-BCD7-0FC9D2B3DB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Basado en Pechrisi 2023, coger de la base de datos de EcoInvent la alpha-amilasa</t>
      </text>
    </comment>
    <comment ref="B109" authorId="18" shapeId="0" xr:uid="{76AF9083-5F5E-482A-B5CE-4D3ABB2ABF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Basado en Pechrisi 2023</t>
      </text>
    </comment>
    <comment ref="B112" authorId="19" shapeId="0" xr:uid="{3AAD9005-11B5-4E87-B820-1AE2508D001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
https://www.sciencedirect.com/science/article/pii/S2211926422000960#s0010
Nilsson 2022
</t>
      </text>
    </comment>
    <comment ref="B146" authorId="20" shapeId="0" xr:uid="{5EAF4563-8FB3-409F-AFEF-0440CECBD4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https://www.mdpi.com/2304-8158/11/19/3053
Hernández 2022
</t>
      </text>
    </comment>
    <comment ref="B152" authorId="21" shapeId="0" xr:uid="{4E1088E7-8428-439E-A87B-A0BA4578FAB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
https://www.sciencedirect.com/science/article/pii/S2211926422000960#s0010
Nilsson 2022
</t>
      </text>
    </comment>
  </commentList>
</comments>
</file>

<file path=xl/sharedStrings.xml><?xml version="1.0" encoding="utf-8"?>
<sst xmlns="http://schemas.openxmlformats.org/spreadsheetml/2006/main" count="2419" uniqueCount="722">
  <si>
    <t>Destilación Flash</t>
  </si>
  <si>
    <t>Rendimientos hidrólisis</t>
  </si>
  <si>
    <t>Q13</t>
  </si>
  <si>
    <t>V (acetona) Q16</t>
  </si>
  <si>
    <t>L (pesticida) Q17</t>
  </si>
  <si>
    <t>Proteínas (%)</t>
  </si>
  <si>
    <t>kg/d</t>
  </si>
  <si>
    <t>kmol/d</t>
  </si>
  <si>
    <t>z</t>
  </si>
  <si>
    <t>y</t>
  </si>
  <si>
    <t>x</t>
  </si>
  <si>
    <t>Carbohidratos (%)</t>
  </si>
  <si>
    <t>Agua</t>
  </si>
  <si>
    <t>Lípidos (%)</t>
  </si>
  <si>
    <t>Acetona</t>
  </si>
  <si>
    <t>Total</t>
  </si>
  <si>
    <t>Rendimientos extracción</t>
  </si>
  <si>
    <t>Constantes Antoine</t>
  </si>
  <si>
    <t>Richford</t>
  </si>
  <si>
    <t>A</t>
  </si>
  <si>
    <t>B</t>
  </si>
  <si>
    <t>C</t>
  </si>
  <si>
    <t>f (ρ)</t>
  </si>
  <si>
    <t>Total (%)</t>
  </si>
  <si>
    <t>Suponer que se va un 10% (correo Gabriel 22/10/22)</t>
  </si>
  <si>
    <t>T (ºC)</t>
  </si>
  <si>
    <t>P (atm)</t>
  </si>
  <si>
    <t>Constante equilibrio</t>
  </si>
  <si>
    <t>ρ</t>
  </si>
  <si>
    <t>Ps (mmHg)</t>
  </si>
  <si>
    <t>Ps (bar)</t>
  </si>
  <si>
    <t>K</t>
  </si>
  <si>
    <t xml:space="preserve">Agua </t>
  </si>
  <si>
    <t>-</t>
  </si>
  <si>
    <t>Ratio</t>
  </si>
  <si>
    <t>Pesticida</t>
  </si>
  <si>
    <t>https://www.youtube.com/watch?v=iYtwmPxySNM</t>
  </si>
  <si>
    <t>https://www.youtube.com/watch?v=3csq7DyAsh0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</si>
  <si>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</si>
  <si>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</si>
  <si>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</si>
  <si>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</si>
  <si>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</si>
  <si>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</si>
  <si>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</si>
  <si>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</si>
  <si>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</si>
  <si>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</si>
  <si>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</si>
  <si>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</si>
  <si>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Q14</t>
  </si>
  <si>
    <t>Q15</t>
  </si>
  <si>
    <t>Q16</t>
  </si>
  <si>
    <t>Q17</t>
  </si>
  <si>
    <t>Parámetros purín fresco</t>
  </si>
  <si>
    <t>Parámetros fertilizante</t>
  </si>
  <si>
    <t>Purín fresco</t>
  </si>
  <si>
    <t>Agua fresca</t>
  </si>
  <si>
    <t>Recirculación</t>
  </si>
  <si>
    <t>Entrada reactor</t>
  </si>
  <si>
    <t>Evaporación</t>
  </si>
  <si>
    <t>Salida reactor</t>
  </si>
  <si>
    <t>Permeado</t>
  </si>
  <si>
    <t>Purga</t>
  </si>
  <si>
    <t>Retenido</t>
  </si>
  <si>
    <t>Salida US</t>
  </si>
  <si>
    <t>Salida extracción</t>
  </si>
  <si>
    <t>Biopesticida</t>
  </si>
  <si>
    <t>Fase sólida</t>
  </si>
  <si>
    <t>Bioestimulante</t>
  </si>
  <si>
    <t>Acet. Recuperada</t>
  </si>
  <si>
    <t>Biopesticida puro</t>
  </si>
  <si>
    <t>SST</t>
  </si>
  <si>
    <t>mg/L</t>
  </si>
  <si>
    <t>%</t>
  </si>
  <si>
    <t>Q</t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</si>
  <si>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/d</t>
    </r>
  </si>
  <si>
    <t>TOC</t>
  </si>
  <si>
    <t>N</t>
  </si>
  <si>
    <t>TN</t>
  </si>
  <si>
    <t>P</t>
  </si>
  <si>
    <t>Amonio</t>
  </si>
  <si>
    <t>N biomasa</t>
  </si>
  <si>
    <t>TP</t>
  </si>
  <si>
    <t>Membrana</t>
  </si>
  <si>
    <t>Microalga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</si>
  <si>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</si>
  <si>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Pérdidas</t>
  </si>
  <si>
    <t>N líquido</t>
  </si>
  <si>
    <t>Parámetros fotobiorreactor</t>
  </si>
  <si>
    <t>Cálculo fotobiorreactor</t>
  </si>
  <si>
    <t>N líquido []</t>
  </si>
  <si>
    <t>Dilución purín</t>
  </si>
  <si>
    <t>Area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</si>
  <si>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</si>
  <si>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Volumen</t>
  </si>
  <si>
    <r>
      <t>m</t>
    </r>
    <r>
      <rPr>
        <vertAlign val="superscript"/>
        <sz val="11"/>
        <color rgb="FF00B0F0"/>
        <rFont val="Calibri"/>
        <family val="2"/>
        <scheme val="minor"/>
      </rPr>
      <t>3</t>
    </r>
  </si>
  <si>
    <t>N Q13</t>
  </si>
  <si>
    <t>Tiempo</t>
  </si>
  <si>
    <t>d</t>
  </si>
  <si>
    <t>Altura</t>
  </si>
  <si>
    <t>cm</t>
  </si>
  <si>
    <t>Eliminaciones fotobiorreactor</t>
  </si>
  <si>
    <t>N Q14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</si>
  <si>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</si>
  <si>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[Alga seca]</t>
  </si>
  <si>
    <t>g/L</t>
  </si>
  <si>
    <t>Productividad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</si>
  <si>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</si>
  <si>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Composición microalga</t>
  </si>
  <si>
    <t>Proteínas</t>
  </si>
  <si>
    <t>Flujo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</si>
  <si>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</t>
    </r>
  </si>
  <si>
    <t>Carbohidratos</t>
  </si>
  <si>
    <t>[Retenido]</t>
  </si>
  <si>
    <t>Lípidos</t>
  </si>
  <si>
    <t>Factor []</t>
  </si>
  <si>
    <t>Extracción (acetona)</t>
  </si>
  <si>
    <t>Solvente</t>
  </si>
  <si>
    <t>Centrifuga</t>
  </si>
  <si>
    <t>Centrífuga</t>
  </si>
  <si>
    <t>N-NH4 que se transforma en N-proteina</t>
  </si>
  <si>
    <t>Amonio: si no se ha transformado en P</t>
  </si>
  <si>
    <t>Rendimiento</t>
  </si>
  <si>
    <r>
      <t>[SST]</t>
    </r>
    <r>
      <rPr>
        <vertAlign val="subscript"/>
        <sz val="11"/>
        <color theme="1"/>
        <rFont val="Calibri"/>
        <family val="2"/>
        <scheme val="minor"/>
      </rPr>
      <t>13</t>
    </r>
  </si>
  <si>
    <t>[SST] concentrado</t>
  </si>
  <si>
    <t>mg/mL</t>
  </si>
  <si>
    <t>Comprobación del balance</t>
  </si>
  <si>
    <t>Entrada</t>
  </si>
  <si>
    <t>Salida</t>
  </si>
  <si>
    <t>Biomasa</t>
  </si>
  <si>
    <t>[Hidrólisis]</t>
  </si>
  <si>
    <t>Densidad</t>
  </si>
  <si>
    <t>kg/m3</t>
  </si>
  <si>
    <t>EQUIPOS</t>
  </si>
  <si>
    <t>Intercambiador de calor</t>
  </si>
  <si>
    <t>Fotobiorreactor</t>
  </si>
  <si>
    <t>Ultrasonidos</t>
  </si>
  <si>
    <t>Reactor hidrólisis bioestimulante</t>
  </si>
  <si>
    <t>Tanque final biopesticida</t>
  </si>
  <si>
    <t>Flow</t>
  </si>
  <si>
    <t>Necesidades calorificas</t>
  </si>
  <si>
    <t>Potencia</t>
  </si>
  <si>
    <t>W</t>
  </si>
  <si>
    <t>Enzima</t>
  </si>
  <si>
    <t>Caudal</t>
  </si>
  <si>
    <t>kJ/día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</si>
  <si>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</si>
  <si>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Tiempo uso</t>
  </si>
  <si>
    <t>h</t>
  </si>
  <si>
    <t>Total enzima</t>
  </si>
  <si>
    <t>T inicial</t>
  </si>
  <si>
    <t>ºC</t>
  </si>
  <si>
    <t>kW</t>
  </si>
  <si>
    <t>m</t>
  </si>
  <si>
    <t>Modelo</t>
  </si>
  <si>
    <t>Energía</t>
  </si>
  <si>
    <t>MJ/kg</t>
  </si>
  <si>
    <t>T final</t>
  </si>
  <si>
    <t>Coste unitario</t>
  </si>
  <si>
    <r>
      <t>€/m</t>
    </r>
    <r>
      <rPr>
        <vertAlign val="superscript"/>
        <sz val="11"/>
        <color theme="1"/>
        <rFont val="Calibri"/>
        <family val="2"/>
        <scheme val="minor"/>
      </rPr>
      <t>3</t>
    </r>
  </si>
  <si>
    <t>Cantidad</t>
  </si>
  <si>
    <t>Energía total</t>
  </si>
  <si>
    <t>Cp</t>
  </si>
  <si>
    <t>J/kg·ºC</t>
  </si>
  <si>
    <t>Coste total</t>
  </si>
  <si>
    <t>€</t>
  </si>
  <si>
    <t>Destilador flash</t>
  </si>
  <si>
    <t>Fosfato</t>
  </si>
  <si>
    <t>Tanque final bioestimulante</t>
  </si>
  <si>
    <t>T2</t>
  </si>
  <si>
    <t>Intercambiador</t>
  </si>
  <si>
    <t>min</t>
  </si>
  <si>
    <t>Reactor hidrólisis biopesticida</t>
  </si>
  <si>
    <t>T1</t>
  </si>
  <si>
    <t>Membrana 2</t>
  </si>
  <si>
    <t>Flujo vapor necesario (LPS a 2 bar)</t>
  </si>
  <si>
    <t>λ</t>
  </si>
  <si>
    <t>kJ/kg</t>
  </si>
  <si>
    <t>ESTUDIO TECNOECONÓMICO</t>
  </si>
  <si>
    <t>mf</t>
  </si>
  <si>
    <t>kg/s</t>
  </si>
  <si>
    <t>kg/día</t>
  </si>
  <si>
    <t>COSTES Y EQUIPOS</t>
  </si>
  <si>
    <t>T</t>
  </si>
  <si>
    <t>Equipo</t>
  </si>
  <si>
    <t>Tamaño mínimo unidad</t>
  </si>
  <si>
    <t>Coste (€/uni)</t>
  </si>
  <si>
    <t>Capacidad</t>
  </si>
  <si>
    <t>Item</t>
  </si>
  <si>
    <t>Descripción</t>
  </si>
  <si>
    <t>Unidades</t>
  </si>
  <si>
    <t>Total (€)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</si>
  <si>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</si>
  <si>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Unidad de preparación de medio</t>
  </si>
  <si>
    <t>Calentamiento hidrólisis</t>
  </si>
  <si>
    <t>Compresor de aire</t>
  </si>
  <si>
    <t>kg/h</t>
  </si>
  <si>
    <r>
      <t>Unidad de suministro de CO</t>
    </r>
    <r>
      <rPr>
        <vertAlign val="subscript"/>
        <sz val="11"/>
        <color theme="1"/>
        <rFont val="Calibri"/>
        <family val="2"/>
        <scheme val="minor"/>
      </rPr>
      <t>2</t>
    </r>
  </si>
  <si>
    <t>Tanque de almacenamiento</t>
  </si>
  <si>
    <t>Sistema de membranas</t>
  </si>
  <si>
    <t>Sistema de ultrasonidos</t>
  </si>
  <si>
    <t>Reactor extracción biopesticida</t>
  </si>
  <si>
    <t>Reactor de hidrólisis bioestimulante</t>
  </si>
  <si>
    <t>Tanque final de almacenamiento biopesticida</t>
  </si>
  <si>
    <t>Tanque final de almacenamiento bioestimulante</t>
  </si>
  <si>
    <t>Bomba corriente 1</t>
  </si>
  <si>
    <t>Bomba corriente 2</t>
  </si>
  <si>
    <t>Bomba corriente 3</t>
  </si>
  <si>
    <t>Bomba corriente 6</t>
  </si>
  <si>
    <t>Bomba corriente 9</t>
  </si>
  <si>
    <t>Bomba corriente 10</t>
  </si>
  <si>
    <t>Bomba corriente 12</t>
  </si>
  <si>
    <t>Bomba corriente 13</t>
  </si>
  <si>
    <t>Bomba corriente 15</t>
  </si>
  <si>
    <t>Bomba corriente 14</t>
  </si>
  <si>
    <t>Bomba corriente 17</t>
  </si>
  <si>
    <t>Intercambiador calor (placas)</t>
  </si>
  <si>
    <t>Factor exponencial</t>
  </si>
  <si>
    <t>Tasa inflación EE.UU (2014 - 2022)</t>
  </si>
  <si>
    <t>CAPITAL FIJO</t>
  </si>
  <si>
    <t>Factor</t>
  </si>
  <si>
    <t>Coste (€)</t>
  </si>
  <si>
    <t>COSTES RELEVANTES</t>
  </si>
  <si>
    <t>Coste total de equipos</t>
  </si>
  <si>
    <t>Costes de instalación</t>
  </si>
  <si>
    <t>Instrumentación y control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</si>
  <si>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</si>
  <si>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€/kg</t>
  </si>
  <si>
    <t>Tubería</t>
  </si>
  <si>
    <t>Fertilizantes</t>
  </si>
  <si>
    <t>Sistemas eléctricos</t>
  </si>
  <si>
    <t>€/kWh</t>
  </si>
  <si>
    <t>Edificios</t>
  </si>
  <si>
    <t>Enzimas</t>
  </si>
  <si>
    <t>Mejoras de terreno</t>
  </si>
  <si>
    <t>Agua enfriamiento</t>
  </si>
  <si>
    <t>Servicios</t>
  </si>
  <si>
    <t>Terreno</t>
  </si>
  <si>
    <t>Horas</t>
  </si>
  <si>
    <t>Días</t>
  </si>
  <si>
    <t>Ingeniería y supervisión</t>
  </si>
  <si>
    <t>LPS</t>
  </si>
  <si>
    <t>Gastos de construcción</t>
  </si>
  <si>
    <t>CONSUMOS DE ENERGÍA</t>
  </si>
  <si>
    <t>Contratista</t>
  </si>
  <si>
    <t>Mezclado thin-layer</t>
  </si>
  <si>
    <r>
      <t>W/m</t>
    </r>
    <r>
      <rPr>
        <vertAlign val="superscript"/>
        <sz val="11"/>
        <color theme="1"/>
        <rFont val="Calibri"/>
        <family val="2"/>
        <scheme val="minor"/>
      </rPr>
      <t>3</t>
    </r>
  </si>
  <si>
    <t>Contingencia</t>
  </si>
  <si>
    <t>Energía TL</t>
  </si>
  <si>
    <t>kWh/d</t>
  </si>
  <si>
    <t>Mezclado reactor pest.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</si>
  <si>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</si>
  <si>
    <t>CAPITAL FIJO ANUAL</t>
  </si>
  <si>
    <t>Energía reactor pest.</t>
  </si>
  <si>
    <t>kWh</t>
  </si>
  <si>
    <t>Tiempo de vida</t>
  </si>
  <si>
    <t>Mezclado reactor esti.</t>
  </si>
  <si>
    <t>Depreciación</t>
  </si>
  <si>
    <t>Energía reactor esti.</t>
  </si>
  <si>
    <t>Impuesto sobre bienes (1% depreciación)</t>
  </si>
  <si>
    <t>Seguros (0,6% depreciación)</t>
  </si>
  <si>
    <t>Total mezclado</t>
  </si>
  <si>
    <t>Impuesto IVA (21% items 1-12/tiempo)</t>
  </si>
  <si>
    <t>US</t>
  </si>
  <si>
    <t>Energía US</t>
  </si>
  <si>
    <t>COSTES PRODUCCIÓN DIRECTOS</t>
  </si>
  <si>
    <t>OPEX (OMC)</t>
  </si>
  <si>
    <t>Distribución</t>
  </si>
  <si>
    <t>Raw material</t>
  </si>
  <si>
    <t>Utilities</t>
  </si>
  <si>
    <t>Labor</t>
  </si>
  <si>
    <t>MJ</t>
  </si>
  <si>
    <t>Materia prima</t>
  </si>
  <si>
    <t>Cantidad anual</t>
  </si>
  <si>
    <t>€/unidad</t>
  </si>
  <si>
    <t>IC</t>
  </si>
  <si>
    <t>Capex</t>
  </si>
  <si>
    <t>Fertilizers</t>
  </si>
  <si>
    <t>Energy</t>
  </si>
  <si>
    <t>Calor reactor</t>
  </si>
  <si>
    <t>Mantener a 50ºC y subir desde 30ºC</t>
  </si>
  <si>
    <t>OMC</t>
  </si>
  <si>
    <t>Opex</t>
  </si>
  <si>
    <t>Water</t>
  </si>
  <si>
    <t>Heating</t>
  </si>
  <si>
    <t>Supervision</t>
  </si>
  <si>
    <t>Flujo LPS 120ºC y 2 bar</t>
  </si>
  <si>
    <t>Payroll charges</t>
  </si>
  <si>
    <t>Enzymes</t>
  </si>
  <si>
    <t>Maintenance</t>
  </si>
  <si>
    <t>Calor US</t>
  </si>
  <si>
    <t>Phosphate</t>
  </si>
  <si>
    <t>Operating supplies</t>
  </si>
  <si>
    <t>Flujo agua necesario US (enfriar)</t>
  </si>
  <si>
    <t>Sube de 20ºC a 30ºC (poco tiempo, no hace falta enfriar)</t>
  </si>
  <si>
    <t>Membranas</t>
  </si>
  <si>
    <t>Acetone</t>
  </si>
  <si>
    <t>General plant overheads</t>
  </si>
  <si>
    <t>Tax</t>
  </si>
  <si>
    <t>Calor intercambiador</t>
  </si>
  <si>
    <t>Subir hasta 96ºC desde 30ºC</t>
  </si>
  <si>
    <t>Contingency</t>
  </si>
  <si>
    <t>Flujo LPS</t>
  </si>
  <si>
    <t>TOTAL</t>
  </si>
  <si>
    <t>Marketing</t>
  </si>
  <si>
    <t>Energía mezcla</t>
  </si>
  <si>
    <t>Energía ultrasonidos</t>
  </si>
  <si>
    <t>CASO ESCENARIO 2</t>
  </si>
  <si>
    <t>Energía bombas</t>
  </si>
  <si>
    <t>Tiempo operación</t>
  </si>
  <si>
    <t>Energía membranas</t>
  </si>
  <si>
    <t>M</t>
  </si>
  <si>
    <t>Tasa dilución</t>
  </si>
  <si>
    <t>1/d</t>
  </si>
  <si>
    <t>LPS 2 bar</t>
  </si>
  <si>
    <t>Flujo aire</t>
  </si>
  <si>
    <t>v/v/min</t>
  </si>
  <si>
    <t>Personal y otros</t>
  </si>
  <si>
    <r>
      <t>Consumo CO</t>
    </r>
    <r>
      <rPr>
        <vertAlign val="subscript"/>
        <sz val="11"/>
        <color theme="1"/>
        <rFont val="Calibri"/>
        <family val="2"/>
        <scheme val="minor"/>
      </rPr>
      <t>2</t>
    </r>
  </si>
  <si>
    <t>kg/kg alga</t>
  </si>
  <si>
    <t>Personal</t>
  </si>
  <si>
    <t>g/L/d</t>
  </si>
  <si>
    <t>Supervision (20% de personal)</t>
  </si>
  <si>
    <t>Cargos de nómica (25% de personal + supervisión)</t>
  </si>
  <si>
    <t>Consumo enzimas</t>
  </si>
  <si>
    <t>Mantenimiento (4% de equipos totales)</t>
  </si>
  <si>
    <t>Consumo acetona</t>
  </si>
  <si>
    <t>Suministros de operación (0,4% de materia prima)</t>
  </si>
  <si>
    <t>Gastos generales planta (55% de personal + supervision + mantenimiento)</t>
  </si>
  <si>
    <t>CONSUMOS BOMBAS</t>
  </si>
  <si>
    <t>Impuestos (21% de materia prima + utilities + mantenimiento + suministros)</t>
  </si>
  <si>
    <t>P (Q1)</t>
  </si>
  <si>
    <t>Contingencia (5% de materia prima + utilities)</t>
  </si>
  <si>
    <t>P (Q2)</t>
  </si>
  <si>
    <t>Marketing (5% de materia prima + utilities + supervisicion + cargos + mantenimiento + suministros + gastos gener.)</t>
  </si>
  <si>
    <t>P (Q3)</t>
  </si>
  <si>
    <t>P (Q6)</t>
  </si>
  <si>
    <t>P (Q9)</t>
  </si>
  <si>
    <t>COSTES TOTALES</t>
  </si>
  <si>
    <t>P (Q10)</t>
  </si>
  <si>
    <t>P (Q12)</t>
  </si>
  <si>
    <t>Capital fijo anual</t>
  </si>
  <si>
    <t>P (Q13)</t>
  </si>
  <si>
    <t>P (Q15)</t>
  </si>
  <si>
    <t>P (Q17)</t>
  </si>
  <si>
    <t>COSTE DE PRODUCCIÓN TOTAL</t>
  </si>
  <si>
    <r>
      <t>COSTE UNITARIO PRODUCCIÓN BIOESTIMULANTE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</si>
  <si>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Para pasar de kW a kWh/d multiplicar por el tiempo uso h/d</t>
  </si>
  <si>
    <r>
      <t>COSTE UNITARIO PRODUCCIÓN BIOPESTICIDA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</si>
  <si>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COSTE TOTAL TRATAMIENTO PURÍN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</si>
  <si>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BALANCE ECONÓMICO</t>
  </si>
  <si>
    <t>PRODUCTO OBTENIDO (uso en 1 año y 1 hectárea)</t>
  </si>
  <si>
    <t>CAPEX</t>
  </si>
  <si>
    <t>TAEC estimulante (€/año)</t>
  </si>
  <si>
    <t>Energrow Green</t>
  </si>
  <si>
    <t>NPK 12-24-12</t>
  </si>
  <si>
    <t>NPK 4-12-4</t>
  </si>
  <si>
    <t>https://blogs.worldbank.org/opendata/fertilizer-prices-expected-remain-higher-longer (2022)</t>
  </si>
  <si>
    <t>OPEX</t>
  </si>
  <si>
    <t>OMC (€/year)</t>
  </si>
  <si>
    <t>TAEC pesticida (€/año)</t>
  </si>
  <si>
    <t>C (%)</t>
  </si>
  <si>
    <t>i</t>
  </si>
  <si>
    <t>https://www.sciencedirect.com/science/article/pii/S0960852419313744</t>
  </si>
  <si>
    <t>N (%)</t>
  </si>
  <si>
    <t>j</t>
  </si>
  <si>
    <t>Tecnoeconomico producción de pesticidas (2,54 $/L, planta de 5000 m3 de producción)</t>
  </si>
  <si>
    <t>P (%)</t>
  </si>
  <si>
    <t>Uso (L/ha)</t>
  </si>
  <si>
    <t>TAEC</t>
  </si>
  <si>
    <t>€/año</t>
  </si>
  <si>
    <t>Coste unit (€/L)</t>
  </si>
  <si>
    <t>Coste unitario pesticida</t>
  </si>
  <si>
    <r>
      <t>€/m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</si>
  <si>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 (kg/ha)</t>
  </si>
  <si>
    <t>Coste unitario estimulante</t>
  </si>
  <si>
    <t>Poner el mismo precio que en el 1</t>
  </si>
  <si>
    <t>N (kg/ha)</t>
  </si>
  <si>
    <t>P (kg/ha)</t>
  </si>
  <si>
    <t>K (€)</t>
  </si>
  <si>
    <t>Coste fijo total + coste fijo año - depreciación</t>
  </si>
  <si>
    <t>Coste final (€)</t>
  </si>
  <si>
    <t>OMC (€/año)</t>
  </si>
  <si>
    <t>Costes de operación y mantenimiento</t>
  </si>
  <si>
    <t>i (%)</t>
  </si>
  <si>
    <t>interés</t>
  </si>
  <si>
    <t>j (años)</t>
  </si>
  <si>
    <t>vida útil</t>
  </si>
  <si>
    <t>Costes totales de producción</t>
  </si>
  <si>
    <t>Producción pesticida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</si>
  <si>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/año</t>
    </r>
  </si>
  <si>
    <t>Producción estimulante</t>
  </si>
  <si>
    <t>FLUJO DE CAJA</t>
  </si>
  <si>
    <t>Año</t>
  </si>
  <si>
    <t>Inversión</t>
  </si>
  <si>
    <t>Ingresos</t>
  </si>
  <si>
    <t>Costes</t>
  </si>
  <si>
    <t>Flujo caja</t>
  </si>
  <si>
    <t>Numerador VAN</t>
  </si>
  <si>
    <t>VAN</t>
  </si>
  <si>
    <t>Estimulante</t>
  </si>
  <si>
    <t>Cuanto cuesta (€)</t>
  </si>
  <si>
    <t>Cuanto vendo (€)</t>
  </si>
  <si>
    <t>kg/año</t>
  </si>
  <si>
    <t>Precio sacado para VAN = 0 y comparar con otros fertilizantes</t>
  </si>
  <si>
    <t>EQUIPOS ASPEN</t>
  </si>
  <si>
    <t>Bombas</t>
  </si>
  <si>
    <t>Corriente</t>
  </si>
  <si>
    <t>Flujo (kg/h)</t>
  </si>
  <si>
    <t>P entrada (bar)</t>
  </si>
  <si>
    <t>P salida (bar)</t>
  </si>
  <si>
    <t>H (m)</t>
  </si>
  <si>
    <r>
      <t>Act. Volume flow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/h)</t>
    </r>
  </si>
  <si>
    <t>Adiabatic efficiency</t>
  </si>
  <si>
    <t>Price (€) año 2021</t>
  </si>
  <si>
    <t>Energía (W)</t>
  </si>
  <si>
    <t>Reactor acetona</t>
  </si>
  <si>
    <t>Caudal (kg/h)</t>
  </si>
  <si>
    <t>Tiempo (h)</t>
  </si>
  <si>
    <r>
      <t>Volumen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</si>
  <si>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Altura (m)</t>
  </si>
  <si>
    <t>Diámetro (m)</t>
  </si>
  <si>
    <t>Electricidad (kW)</t>
  </si>
  <si>
    <t>Prices (€)</t>
  </si>
  <si>
    <t>Reactor hidrólisis</t>
  </si>
  <si>
    <t>Caudal entrada (kg/h)</t>
  </si>
  <si>
    <t>Caudal S (kg/h)</t>
  </si>
  <si>
    <t>Caudal L (kg/h)</t>
  </si>
  <si>
    <t>Tanques final</t>
  </si>
  <si>
    <t>TOTAL INPUTS</t>
  </si>
  <si>
    <t>TOTAL OUTPUTS</t>
  </si>
  <si>
    <t>Amount</t>
  </si>
  <si>
    <t>Units</t>
  </si>
  <si>
    <t>Utility</t>
  </si>
  <si>
    <t>Product</t>
  </si>
  <si>
    <t>PWW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</si>
  <si>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</si>
  <si>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Pumps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</si>
  <si>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</si>
  <si>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Biostimulant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</si>
  <si>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</si>
  <si>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Membrane</t>
  </si>
  <si>
    <t>Irrigation water</t>
  </si>
  <si>
    <t>Mixing</t>
  </si>
  <si>
    <r>
      <t>MJ/m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</si>
  <si>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Air</t>
  </si>
  <si>
    <r>
      <t>BALANCE FUNCTIONAL UNIT (1 m</t>
    </r>
    <r>
      <rPr>
        <b/>
        <vertAlign val="superscript"/>
        <sz val="11"/>
        <color theme="3"/>
        <rFont val="Calibri"/>
        <family val="2"/>
        <scheme val="minor"/>
      </rPr>
      <t>3</t>
    </r>
    <r>
      <rPr>
        <b/>
        <sz val="11"/>
        <color theme="3"/>
        <rFont val="Calibri"/>
        <family val="2"/>
        <scheme val="minor"/>
      </rPr>
      <t xml:space="preserve"> biostimulant)</t>
    </r>
  </si>
  <si>
    <t>Slurry</t>
  </si>
  <si>
    <t>Recirculation</t>
  </si>
  <si>
    <t>Input reactor</t>
  </si>
  <si>
    <t>Evaporation</t>
  </si>
  <si>
    <t>Output reactor</t>
  </si>
  <si>
    <t>Permeate</t>
  </si>
  <si>
    <t>Purge</t>
  </si>
  <si>
    <t>Concentrated</t>
  </si>
  <si>
    <t>US output</t>
  </si>
  <si>
    <r>
      <t>Q (m</t>
    </r>
    <r>
      <rPr>
        <vertAlign val="superscript"/>
        <sz val="11"/>
        <color theme="1"/>
        <rFont val="Calibri"/>
        <family val="2"/>
        <scheme val="minor"/>
      </rPr>
      <t>3/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</si>
  <si>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Water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</si>
  <si>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Microalgae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</si>
  <si>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TSS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</si>
  <si>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TOC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</si>
  <si>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</si>
  <si>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Ammonium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</si>
  <si>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TP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</si>
  <si>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Protein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</si>
  <si>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Carbohydrate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</si>
  <si>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Lipid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</si>
  <si>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t>Fresh water</t>
  </si>
  <si>
    <t>Output extraction</t>
  </si>
  <si>
    <t>Biopesticide</t>
  </si>
  <si>
    <t>Solid phase</t>
  </si>
  <si>
    <t>Recovered ac.</t>
  </si>
  <si>
    <t>Pure biopesticida</t>
  </si>
  <si>
    <r>
      <t>Acetone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</si>
  <si>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t>DILUTION AND THIN-LAYER</t>
  </si>
  <si>
    <t>Input</t>
  </si>
  <si>
    <t>Unit</t>
  </si>
  <si>
    <t>Data base SimaPro</t>
  </si>
  <si>
    <t>Slurry (Q1)</t>
  </si>
  <si>
    <t>Tap water {Europe without Switzerland}| market for | Alloc Rec, U</t>
  </si>
  <si>
    <t>Air (in air)</t>
  </si>
  <si>
    <r>
      <t>CO</t>
    </r>
    <r>
      <rPr>
        <vertAlign val="subscript"/>
        <sz val="11"/>
        <rFont val="Calibri"/>
        <family val="2"/>
        <scheme val="minor"/>
      </rPr>
      <t>2</t>
    </r>
  </si>
  <si>
    <r>
      <t>kg/m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biostimulant</t>
    </r>
  </si>
  <si>
    <t>Carbon dioxide, liquid {RER}| production | Alloc Rec, U</t>
  </si>
  <si>
    <t>Mix energy</t>
  </si>
  <si>
    <t>Electricity, medium voltage {ES}| market for | Alloc Rec, U</t>
  </si>
  <si>
    <t>Energy pumps (Q1, Q2, Q6)</t>
  </si>
  <si>
    <t>Output</t>
  </si>
  <si>
    <t>Flow (Q6)</t>
  </si>
  <si>
    <t>MICROALGAE CULTIVATION (Q6)</t>
  </si>
  <si>
    <t>Biomass</t>
  </si>
  <si>
    <t>Emissions air</t>
  </si>
  <si>
    <t>Water evaporation</t>
  </si>
  <si>
    <t>Carbon dioxide</t>
  </si>
  <si>
    <t>Ammonia</t>
  </si>
  <si>
    <t>Ammonia, ES</t>
  </si>
  <si>
    <t>Avoided emission</t>
  </si>
  <si>
    <t>Nitrogen fertiliser, as N {GLO}| market for | Alloc Rec, U</t>
  </si>
  <si>
    <t>Phosphate fertiliser, as P2O5 {GLO}| market for | Alloc Rec, U</t>
  </si>
  <si>
    <t>Cu</t>
  </si>
  <si>
    <t>Zn</t>
  </si>
  <si>
    <t>Ar</t>
  </si>
  <si>
    <t>THIN-LAYER STRUCTURE</t>
  </si>
  <si>
    <t>Glass fibre</t>
  </si>
  <si>
    <r>
      <t>p/m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</si>
  <si>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Glass fibre {GLO}| market for | Alloc Rec, U</t>
  </si>
  <si>
    <t>Compound</t>
  </si>
  <si>
    <t>Density</t>
  </si>
  <si>
    <t>Reference</t>
  </si>
  <si>
    <t>Concrete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</si>
  <si>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</si>
  <si>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Portner 2021</t>
  </si>
  <si>
    <t>Glass fiber</t>
  </si>
  <si>
    <t>https://www.sciencedirect.com/science/article/pii/B9780081022283000074</t>
  </si>
  <si>
    <t>Reactor</t>
  </si>
  <si>
    <t>Value</t>
  </si>
  <si>
    <t>Volume</t>
  </si>
  <si>
    <t>Material balance</t>
  </si>
  <si>
    <t>Thickness</t>
  </si>
  <si>
    <t>mm</t>
  </si>
  <si>
    <t>Pilot plant Almería</t>
  </si>
  <si>
    <t>Life time</t>
  </si>
  <si>
    <t>year</t>
  </si>
  <si>
    <t>Technoeconomical assumption</t>
  </si>
  <si>
    <t>LDPE per are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</si>
  <si>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</si>
  <si>
    <t>Pechrisi 2023</t>
  </si>
  <si>
    <t>Glass fiber per area</t>
  </si>
  <si>
    <t>https://www.mdpi.com/2076-3417/10/15/5130</t>
  </si>
  <si>
    <t>Steel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</si>
  <si>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</si>
  <si>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TFM Rubén</t>
  </si>
  <si>
    <t>Material input</t>
  </si>
  <si>
    <t>LDPE demand</t>
  </si>
  <si>
    <t>kg</t>
  </si>
  <si>
    <t>kg/year</t>
  </si>
  <si>
    <t>SimaPro = 1 p</t>
  </si>
  <si>
    <t>Glass fiber demand</t>
  </si>
  <si>
    <t>HARVESTING WITH MEMBRANE</t>
  </si>
  <si>
    <t>Membrane energy</t>
  </si>
  <si>
    <t>Energy pumps (Q3, Q9)</t>
  </si>
  <si>
    <t>Output (product)</t>
  </si>
  <si>
    <t>Irrigation water (Q8)</t>
  </si>
  <si>
    <t>Tap water {RoW}| tap water production, underground water without treatment | Alloc Rec, U</t>
  </si>
  <si>
    <t>Solid phase (Q9)</t>
  </si>
  <si>
    <t>BIOMASS HARVESTING (Q9)</t>
  </si>
  <si>
    <t>PRETREATMENT</t>
  </si>
  <si>
    <t>Flow (Q9)</t>
  </si>
  <si>
    <t>US energy</t>
  </si>
  <si>
    <t>Energy pump (Q10)</t>
  </si>
  <si>
    <t>Flow (Q10)</t>
  </si>
  <si>
    <t>US PRETREATMENT (Q10)</t>
  </si>
  <si>
    <t>HEAVY METAL CONCENTRATION PWW</t>
  </si>
  <si>
    <t>Heavy metal</t>
  </si>
  <si>
    <t>Copper</t>
  </si>
  <si>
    <t>https://www.mdpi.com/2079-7737/11/8/1176</t>
  </si>
  <si>
    <t>Entre 12 y 234</t>
  </si>
  <si>
    <t>Zinc</t>
  </si>
  <si>
    <t>Entre 4,7 y 148</t>
  </si>
  <si>
    <t>Arsenic</t>
  </si>
  <si>
    <t>BIOSTIMULANT PRODUCTION</t>
  </si>
  <si>
    <t>Process steam from natural gas, heat plant, consumption mix, at plant, MJ, ES S</t>
  </si>
  <si>
    <t>Enzyme, Alpha-amylase, Novozyme Liquozyme/kg/RER</t>
  </si>
  <si>
    <t>Sodium phosphate {GLO}| market for | Alloc Rec, U</t>
  </si>
  <si>
    <t>Avoided chemical fertilizer</t>
  </si>
  <si>
    <t>REACTOR STRUCTURE</t>
  </si>
  <si>
    <t>Steel, stainless 304, scrap/kg/GLO</t>
  </si>
  <si>
    <t>TRANSPORT (máx 300 km)</t>
  </si>
  <si>
    <t>Emissions</t>
  </si>
  <si>
    <r>
      <t>tkm/m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</si>
  <si>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Transport, freight, lorry 7.5-16 metric ton, EURO6 {GLO}| market for | Alloc Rec, U</t>
  </si>
  <si>
    <t>Transporte de purín a planta (menos de 15 km) - En SLURRY</t>
  </si>
  <si>
    <t>Biostimulant (10 T)</t>
  </si>
  <si>
    <t>Transporte de estimulante al campo (máximo de 300 km) - En APLICATION</t>
  </si>
  <si>
    <t>BIOSTIMULANT APLICATION</t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</si>
  <si>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</si>
  <si>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</si>
  <si>
    <t>Nitrogen dioxide</t>
  </si>
  <si>
    <t>Emissions water</t>
  </si>
  <si>
    <t>Nitrates</t>
  </si>
  <si>
    <t>Nitrate</t>
  </si>
  <si>
    <t>Phosphorus</t>
  </si>
  <si>
    <t>Ammonium nitrate</t>
  </si>
  <si>
    <t>Di ammonium phosphate, as 100% (NH3)2HPO4 (NPK 22-57-0), at plant/RER Mass</t>
  </si>
  <si>
    <t>Metidos estos dos como evitados (contenido del purín que se evita, buscar fertilizante líquido)</t>
  </si>
  <si>
    <t>Diammonium phosphate</t>
  </si>
  <si>
    <t>Ammonium nitrate, as 100% (NH4)(NO3) (NPK 35-0-0), at plant/RER Mass</t>
  </si>
  <si>
    <t>TANK STRUCTURE</t>
  </si>
  <si>
    <t>SOLVENT EXTRACTION</t>
  </si>
  <si>
    <t>SEPARATION WITH MEMBRANE</t>
  </si>
  <si>
    <t>Flow (Q12)</t>
  </si>
  <si>
    <t>Liquid phase (Q13)</t>
  </si>
  <si>
    <t>Solid phase (Q14)</t>
  </si>
  <si>
    <t>Flow (Q14)</t>
  </si>
  <si>
    <t>BIOPESTICIDE PRODUCTION</t>
  </si>
  <si>
    <t>Flow (Q13)</t>
  </si>
  <si>
    <t>Height</t>
  </si>
  <si>
    <t>Diameter</t>
  </si>
  <si>
    <t>Steel per area</t>
  </si>
  <si>
    <t>TFM María Maté</t>
  </si>
  <si>
    <t>Steel demand</t>
  </si>
  <si>
    <t>Energy pumps (Q12)</t>
  </si>
  <si>
    <t>Energy pumps (Q13, Q14)</t>
  </si>
  <si>
    <t>Energy pumps (Q15)</t>
  </si>
  <si>
    <t>p (Q14)</t>
  </si>
  <si>
    <t>Allocation</t>
  </si>
  <si>
    <t>Biostimulant (Q15)</t>
  </si>
  <si>
    <t>Energy pumps (Q13 y Q17)</t>
  </si>
  <si>
    <t>Biopesticide (Q17)</t>
  </si>
  <si>
    <t>TRANSPORT BIOSTIMULANT (10 T TRUCK)</t>
  </si>
  <si>
    <t>Variable</t>
  </si>
  <si>
    <t>L (kg)</t>
  </si>
  <si>
    <t>1 ha</t>
  </si>
  <si>
    <t>Greenfarm</t>
  </si>
  <si>
    <t>Distance</t>
  </si>
  <si>
    <t>km</t>
  </si>
  <si>
    <t>https://www.sciencedirect.com/science/article/pii/S2211926415300898</t>
  </si>
  <si>
    <t>Diesel consume</t>
  </si>
  <si>
    <t>L/km</t>
  </si>
  <si>
    <t>https://www.sciencedirect.com/science/article/pii/S2352186422000748#b21</t>
  </si>
  <si>
    <t>kg/km</t>
  </si>
  <si>
    <t>MJ/kg diesel</t>
  </si>
  <si>
    <t>https://link.springer.com/article/10.1065/lca2004.10.181.10</t>
  </si>
  <si>
    <t>MJ/km</t>
  </si>
  <si>
    <t>Balance total proceso</t>
  </si>
  <si>
    <t>Truck</t>
  </si>
  <si>
    <t>units/d</t>
  </si>
  <si>
    <t>tkm</t>
  </si>
  <si>
    <t>TRANSPORT SLURRY (10 T TRUCK)</t>
  </si>
  <si>
    <t>TRANSPORT IRRIGATION WATER (10 T TRUCK)</t>
  </si>
  <si>
    <t>AIR EMISSIONS FACTOR BIOSTIMULANT</t>
  </si>
  <si>
    <t>SOLI EMISSIONS FACTOR BIOSTIMULANT</t>
  </si>
  <si>
    <t>kg/kg N</t>
  </si>
  <si>
    <t>https://www.mdpi.com/2304-8158/11/19/3053</t>
  </si>
  <si>
    <t>EQUIVALENT BIOSTIMULANT (1 ha)</t>
  </si>
  <si>
    <t>Volume (L)</t>
  </si>
  <si>
    <t>Ratio (L)</t>
  </si>
  <si>
    <t>Total (L)</t>
  </si>
  <si>
    <t>NPK</t>
  </si>
  <si>
    <t>Subtitution ammonium nitrate</t>
  </si>
  <si>
    <t>L/L</t>
  </si>
  <si>
    <t>Subtitution diammonium phosphate</t>
  </si>
  <si>
    <t>Steel (BIOSTIMULANT)</t>
  </si>
  <si>
    <t>Steel (BIOPESTICIDE)</t>
  </si>
  <si>
    <t>SOLVENT REACTOR STRUCTURE</t>
  </si>
  <si>
    <t>SOLVENT REACTOR INFRASTRUCTURE</t>
  </si>
  <si>
    <t>Area (m2)</t>
  </si>
  <si>
    <t>BIOSTIMULANT REACTOR INFRASTRUCTURE</t>
  </si>
  <si>
    <t>BIOPESTICIDE TANK INFRASTRUCTURE</t>
  </si>
  <si>
    <t>BIOSTIMULANT TANK INFRASTRUCTURE</t>
  </si>
  <si>
    <t>Cantidad de acero entre los años de vida y el caudal total de ese bloque</t>
  </si>
  <si>
    <t>BIOPESTICIDE PRODUCTION (Q13)</t>
  </si>
  <si>
    <t>BIOSTIMULANT PRODUCTION (Q14)</t>
  </si>
  <si>
    <t>BIOSTIMULANT (Q15)</t>
  </si>
  <si>
    <t>BIOPESTICIDE (Q17)</t>
  </si>
  <si>
    <t>ok</t>
  </si>
  <si>
    <t>ACETONE EXTRACTION (Q12)</t>
  </si>
  <si>
    <t>OK</t>
  </si>
  <si>
    <r>
      <t>Biomass cultivation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</si>
  <si>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Impact</t>
  </si>
  <si>
    <t>Cultivation</t>
  </si>
  <si>
    <t>Pig manure (transport)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</si>
  <si>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</si>
  <si>
    <t>Thin-layer</t>
  </si>
  <si>
    <t>Electricity</t>
  </si>
  <si>
    <t>Human health</t>
  </si>
  <si>
    <t>DALY</t>
  </si>
  <si>
    <t>Ecosystem quality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</si>
  <si>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·year</t>
    </r>
  </si>
  <si>
    <t>Climate change</t>
  </si>
  <si>
    <r>
      <t>kg CO</t>
    </r>
    <r>
      <rPr>
        <b/>
        <vertAlign val="sub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eq</t>
    </r>
  </si>
  <si>
    <t>Resources</t>
  </si>
  <si>
    <t>MJ primary</t>
  </si>
  <si>
    <r>
      <t>Biomass harvesting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</si>
  <si>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Biomass harvesting</t>
  </si>
  <si>
    <t>Biomass cultivation</t>
  </si>
  <si>
    <r>
      <t>US pretreatment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</si>
  <si>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US pretreament</t>
  </si>
  <si>
    <r>
      <t>Acetone extraction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</si>
  <si>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Acetone extraction</t>
  </si>
  <si>
    <t>US pretreatment</t>
  </si>
  <si>
    <t>Acetone, liquid {RER}| production | Alloc Rec, U</t>
  </si>
  <si>
    <t>Biopesticide production</t>
  </si>
  <si>
    <t>Biostimulant production</t>
  </si>
  <si>
    <r>
      <t>Bioproduct separation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</si>
  <si>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Total for biopesticide</t>
  </si>
  <si>
    <t>Total for biostimulant</t>
  </si>
  <si>
    <r>
      <t>Biopesticide production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</si>
  <si>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Steam</t>
  </si>
  <si>
    <t>Biopesticide separation</t>
  </si>
  <si>
    <t>Biostimulant separation</t>
  </si>
  <si>
    <r>
      <t>Biostimulant production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</si>
  <si>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Emzyme</t>
  </si>
  <si>
    <t>Enzyme</t>
  </si>
  <si>
    <t>Carcinogens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</si>
  <si>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Cl eq</t>
    </r>
  </si>
  <si>
    <t>Non-carcinogens</t>
  </si>
  <si>
    <t>Respiratory inorganics</t>
  </si>
  <si>
    <t>kg PM2.5 eq</t>
  </si>
  <si>
    <t>Ionizing radiation</t>
  </si>
  <si>
    <t>Bq C-14 eq</t>
  </si>
  <si>
    <t>Ozone layer depletion</t>
  </si>
  <si>
    <t>kg CFC-11 eq</t>
  </si>
  <si>
    <t>Respiratory organics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</si>
  <si>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eq</t>
    </r>
  </si>
  <si>
    <t>Aquatic ecotoxicity</t>
  </si>
  <si>
    <t>kg TEG water</t>
  </si>
  <si>
    <t>Terrestrial ecotoxicity</t>
  </si>
  <si>
    <t>kg TEG soil</t>
  </si>
  <si>
    <t>Terrestrial acid/nutri</t>
  </si>
  <si>
    <r>
      <t>kg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</t>
    </r>
  </si>
  <si>
    <t>Land occupation</t>
  </si>
  <si>
    <t>m2org.arable</t>
  </si>
  <si>
    <t>Aquatic acidification</t>
  </si>
  <si>
    <t>Aquatic eutrophication</t>
  </si>
  <si>
    <r>
      <t>kg 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P-lim</t>
    </r>
  </si>
  <si>
    <t>Global warming</t>
  </si>
  <si>
    <t>Non-renewable energy</t>
  </si>
  <si>
    <t>Mineral extraction</t>
  </si>
  <si>
    <t>MJ surplus</t>
  </si>
  <si>
    <t>Contribution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</si>
</sst>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0.0000"/>
    <numFmt numFmtId="166" formatCode="0.00000"/>
    <numFmt numFmtId="167" formatCode="0.0%"/>
    <numFmt numFmtId="168" formatCode="0.0"/>
    <numFmt numFmtId="169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rgb="FF00B0F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3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4" borderId="2" applyNumberFormat="0" applyFont="0" applyAlignment="0" applyProtection="0"/>
    <xf numFmtId="0" fontId="8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" fillId="6" borderId="0" applyNumberFormat="0" applyBorder="0" applyAlignment="0" applyProtection="0"/>
    <xf numFmtId="0" fontId="1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22">
    <xf numFmtId="0" fontId="0" fillId="0" borderId="0" xfId="0"/>
    <xf numFmtId="0" fontId="10" fillId="17" borderId="3" xfId="21" applyBorder="1" applyAlignment="1">
      <alignment horizontal="center"/>
    </xf>
    <xf numFmtId="9" fontId="0" fillId="0" borderId="0" xfId="1" applyFont="1"/>
    <xf numFmtId="0" fontId="7" fillId="0" borderId="0" xfId="0" applyFont="1"/>
    <xf numFmtId="0" fontId="1" fillId="15" borderId="3" xfId="19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19" borderId="3" xfId="23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0" fontId="1" fillId="19" borderId="3" xfId="2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8" fillId="0" borderId="0" xfId="8"/>
    <xf numFmtId="0" fontId="1" fillId="20" borderId="3" xfId="24" applyBorder="1" applyAlignment="1">
      <alignment horizontal="center"/>
    </xf>
    <xf numFmtId="165" fontId="12" fillId="0" borderId="0" xfId="0" applyNumberFormat="1" applyFont="1" applyAlignment="1">
      <alignment horizontal="center"/>
    </xf>
    <xf numFmtId="0" fontId="10" fillId="10" borderId="3" xfId="14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7" fillId="0" borderId="0" xfId="0" applyNumberFormat="1" applyFont="1"/>
    <xf numFmtId="0" fontId="11" fillId="0" borderId="0" xfId="28"/>
    <xf numFmtId="164" fontId="0" fillId="0" borderId="3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0" fontId="10" fillId="5" borderId="3" xfId="9" applyBorder="1" applyAlignment="1">
      <alignment horizontal="center"/>
    </xf>
    <xf numFmtId="0" fontId="1" fillId="6" borderId="3" xfId="10" applyBorder="1" applyAlignment="1">
      <alignment horizontal="center"/>
    </xf>
    <xf numFmtId="0" fontId="0" fillId="6" borderId="3" xfId="10" applyFont="1" applyBorder="1" applyAlignment="1">
      <alignment horizontal="center"/>
    </xf>
    <xf numFmtId="0" fontId="1" fillId="6" borderId="3" xfId="1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11" borderId="3" xfId="15" applyFont="1" applyBorder="1" applyAlignment="1">
      <alignment horizontal="center" vertical="center"/>
    </xf>
    <xf numFmtId="2" fontId="13" fillId="11" borderId="3" xfId="15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15" fillId="0" borderId="0" xfId="0" applyFont="1"/>
    <xf numFmtId="0" fontId="15" fillId="6" borderId="3" xfId="10" applyFont="1" applyBorder="1" applyAlignment="1">
      <alignment horizontal="center" vertical="center"/>
    </xf>
    <xf numFmtId="0" fontId="15" fillId="11" borderId="3" xfId="15" applyFont="1" applyBorder="1" applyAlignment="1">
      <alignment horizontal="center" vertical="center"/>
    </xf>
    <xf numFmtId="2" fontId="15" fillId="11" borderId="3" xfId="15" applyNumberFormat="1" applyFont="1" applyBorder="1" applyAlignment="1">
      <alignment horizontal="center" vertical="center"/>
    </xf>
    <xf numFmtId="2" fontId="1" fillId="12" borderId="3" xfId="16" applyNumberForma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4" borderId="3" xfId="7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/>
    </xf>
    <xf numFmtId="0" fontId="15" fillId="4" borderId="3" xfId="7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4" borderId="3" xfId="7" applyFont="1" applyBorder="1" applyAlignment="1">
      <alignment horizontal="center" vertical="center"/>
    </xf>
    <xf numFmtId="0" fontId="13" fillId="4" borderId="7" xfId="7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5" fillId="0" borderId="0" xfId="0" applyNumberFormat="1" applyFont="1"/>
    <xf numFmtId="0" fontId="13" fillId="0" borderId="8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3" fillId="11" borderId="9" xfId="15" applyFont="1" applyBorder="1" applyAlignment="1">
      <alignment horizontal="center" vertical="center"/>
    </xf>
    <xf numFmtId="2" fontId="13" fillId="11" borderId="9" xfId="15" applyNumberFormat="1" applyFont="1" applyBorder="1" applyAlignment="1">
      <alignment horizontal="center" vertical="center"/>
    </xf>
    <xf numFmtId="0" fontId="0" fillId="6" borderId="3" xfId="1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vertical="center" wrapText="1"/>
    </xf>
    <xf numFmtId="0" fontId="10" fillId="21" borderId="3" xfId="25" applyBorder="1" applyAlignment="1">
      <alignment horizontal="center"/>
    </xf>
    <xf numFmtId="0" fontId="1" fillId="22" borderId="3" xfId="26" applyBorder="1" applyAlignment="1">
      <alignment horizontal="center"/>
    </xf>
    <xf numFmtId="0" fontId="4" fillId="2" borderId="3" xfId="4" applyBorder="1" applyAlignment="1">
      <alignment horizontal="center"/>
    </xf>
    <xf numFmtId="0" fontId="8" fillId="0" borderId="0" xfId="8" applyNumberFormat="1" applyAlignment="1">
      <alignment horizontal="left"/>
    </xf>
    <xf numFmtId="0" fontId="10" fillId="7" borderId="3" xfId="11" applyBorder="1" applyAlignment="1">
      <alignment horizontal="center" vertical="center"/>
    </xf>
    <xf numFmtId="0" fontId="1" fillId="18" borderId="3" xfId="22" applyBorder="1" applyAlignment="1">
      <alignment horizontal="center"/>
    </xf>
    <xf numFmtId="0" fontId="1" fillId="18" borderId="3" xfId="22" applyBorder="1" applyAlignment="1">
      <alignment horizontal="center" vertical="center"/>
    </xf>
    <xf numFmtId="2" fontId="5" fillId="3" borderId="3" xfId="5" applyNumberFormat="1" applyBorder="1" applyAlignment="1">
      <alignment horizontal="center" vertical="center"/>
    </xf>
    <xf numFmtId="0" fontId="1" fillId="9" borderId="3" xfId="13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18" borderId="3" xfId="22" applyFont="1" applyBorder="1" applyAlignment="1">
      <alignment horizontal="center" vertical="center"/>
    </xf>
    <xf numFmtId="0" fontId="10" fillId="7" borderId="3" xfId="1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1" fillId="23" borderId="3" xfId="27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/>
    <xf numFmtId="9" fontId="0" fillId="0" borderId="3" xfId="1" applyFont="1" applyBorder="1" applyAlignment="1">
      <alignment horizontal="center"/>
    </xf>
    <xf numFmtId="0" fontId="13" fillId="0" borderId="3" xfId="0" applyFont="1" applyBorder="1"/>
    <xf numFmtId="44" fontId="13" fillId="0" borderId="3" xfId="0" applyNumberFormat="1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13" fillId="0" borderId="10" xfId="0" applyFont="1" applyBorder="1"/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1" applyFont="1" applyBorder="1" applyAlignment="1">
      <alignment horizontal="center"/>
    </xf>
    <xf numFmtId="44" fontId="9" fillId="0" borderId="12" xfId="0" applyNumberFormat="1" applyFont="1" applyBorder="1"/>
    <xf numFmtId="9" fontId="9" fillId="0" borderId="13" xfId="1" applyFont="1" applyFill="1" applyBorder="1" applyAlignment="1">
      <alignment horizontal="center"/>
    </xf>
    <xf numFmtId="44" fontId="0" fillId="0" borderId="3" xfId="0" applyNumberFormat="1" applyBorder="1"/>
    <xf numFmtId="0" fontId="1" fillId="12" borderId="3" xfId="16" applyBorder="1"/>
    <xf numFmtId="0" fontId="0" fillId="12" borderId="3" xfId="16" applyFont="1" applyBorder="1"/>
    <xf numFmtId="0" fontId="1" fillId="12" borderId="11" xfId="16" applyBorder="1"/>
    <xf numFmtId="0" fontId="0" fillId="0" borderId="11" xfId="0" applyBorder="1" applyAlignment="1">
      <alignment horizontal="center"/>
    </xf>
    <xf numFmtId="0" fontId="1" fillId="12" borderId="3" xfId="16" applyBorder="1" applyAlignment="1">
      <alignment horizontal="center"/>
    </xf>
    <xf numFmtId="44" fontId="0" fillId="0" borderId="10" xfId="0" applyNumberFormat="1" applyBorder="1"/>
    <xf numFmtId="9" fontId="9" fillId="0" borderId="13" xfId="1" applyFont="1" applyBorder="1" applyAlignment="1">
      <alignment horizontal="center"/>
    </xf>
    <xf numFmtId="0" fontId="1" fillId="23" borderId="10" xfId="27" applyBorder="1" applyAlignment="1">
      <alignment horizontal="center"/>
    </xf>
    <xf numFmtId="0" fontId="1" fillId="23" borderId="14" xfId="27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9" borderId="9" xfId="13" applyBorder="1" applyAlignment="1">
      <alignment horizontal="center"/>
    </xf>
    <xf numFmtId="44" fontId="0" fillId="0" borderId="9" xfId="0" applyNumberFormat="1" applyBorder="1" applyAlignment="1">
      <alignment horizontal="center"/>
    </xf>
    <xf numFmtId="9" fontId="0" fillId="0" borderId="3" xfId="1" applyFont="1" applyBorder="1"/>
    <xf numFmtId="9" fontId="0" fillId="0" borderId="3" xfId="0" applyNumberFormat="1" applyBorder="1" applyAlignment="1">
      <alignment horizontal="center"/>
    </xf>
    <xf numFmtId="0" fontId="1" fillId="12" borderId="9" xfId="16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3" xfId="0" applyNumberFormat="1" applyBorder="1"/>
    <xf numFmtId="0" fontId="0" fillId="15" borderId="3" xfId="19" applyFont="1" applyBorder="1" applyAlignment="1">
      <alignment horizontal="center"/>
    </xf>
    <xf numFmtId="0" fontId="0" fillId="0" borderId="3" xfId="0" applyBorder="1" applyAlignment="1">
      <alignment horizontal="left"/>
    </xf>
    <xf numFmtId="0" fontId="1" fillId="12" borderId="3" xfId="16" applyBorder="1" applyAlignment="1">
      <alignment horizontal="center" vertical="center"/>
    </xf>
    <xf numFmtId="1" fontId="5" fillId="3" borderId="3" xfId="5" applyNumberFormat="1" applyBorder="1"/>
    <xf numFmtId="0" fontId="0" fillId="0" borderId="10" xfId="0" applyBorder="1"/>
    <xf numFmtId="0" fontId="9" fillId="0" borderId="12" xfId="0" applyFont="1" applyBorder="1" applyAlignment="1">
      <alignment horizontal="right"/>
    </xf>
    <xf numFmtId="44" fontId="9" fillId="0" borderId="17" xfId="0" applyNumberFormat="1" applyFont="1" applyBorder="1"/>
    <xf numFmtId="0" fontId="1" fillId="23" borderId="9" xfId="27" applyBorder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44" fontId="9" fillId="0" borderId="12" xfId="0" applyNumberFormat="1" applyFont="1" applyBorder="1" applyAlignment="1">
      <alignment horizontal="center"/>
    </xf>
    <xf numFmtId="0" fontId="6" fillId="21" borderId="18" xfId="25" applyFont="1" applyBorder="1"/>
    <xf numFmtId="44" fontId="19" fillId="0" borderId="19" xfId="0" applyNumberFormat="1" applyFont="1" applyBorder="1"/>
    <xf numFmtId="0" fontId="6" fillId="21" borderId="20" xfId="25" applyFont="1" applyBorder="1"/>
    <xf numFmtId="44" fontId="19" fillId="0" borderId="21" xfId="0" applyNumberFormat="1" applyFont="1" applyBorder="1"/>
    <xf numFmtId="0" fontId="6" fillId="21" borderId="22" xfId="25" applyFont="1" applyBorder="1"/>
    <xf numFmtId="44" fontId="19" fillId="0" borderId="23" xfId="0" applyNumberFormat="1" applyFont="1" applyBorder="1"/>
    <xf numFmtId="0" fontId="2" fillId="0" borderId="0" xfId="2" applyFill="1" applyBorder="1" applyAlignment="1"/>
    <xf numFmtId="0" fontId="8" fillId="0" borderId="0" xfId="8" applyAlignment="1">
      <alignment horizontal="right"/>
    </xf>
    <xf numFmtId="0" fontId="0" fillId="0" borderId="0" xfId="0" applyAlignment="1">
      <alignment horizontal="center" vertical="center"/>
    </xf>
    <xf numFmtId="0" fontId="10" fillId="17" borderId="18" xfId="21" applyBorder="1" applyAlignment="1">
      <alignment horizontal="center" vertical="center"/>
    </xf>
    <xf numFmtId="0" fontId="10" fillId="5" borderId="19" xfId="9" applyBorder="1" applyAlignment="1">
      <alignment horizontal="center" vertical="center"/>
    </xf>
    <xf numFmtId="0" fontId="1" fillId="6" borderId="24" xfId="1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1" fillId="6" borderId="25" xfId="10" applyBorder="1" applyAlignment="1">
      <alignment horizontal="center" vertical="center"/>
    </xf>
    <xf numFmtId="2" fontId="9" fillId="11" borderId="20" xfId="15" applyNumberFormat="1" applyFont="1" applyBorder="1" applyAlignment="1">
      <alignment horizontal="center" vertical="center"/>
    </xf>
    <xf numFmtId="0" fontId="9" fillId="11" borderId="21" xfId="15" applyFont="1" applyBorder="1" applyAlignment="1">
      <alignment horizontal="center" vertical="center"/>
    </xf>
    <xf numFmtId="0" fontId="6" fillId="7" borderId="18" xfId="11" applyFont="1" applyBorder="1" applyAlignment="1">
      <alignment horizontal="center"/>
    </xf>
    <xf numFmtId="44" fontId="9" fillId="0" borderId="26" xfId="0" applyNumberFormat="1" applyFont="1" applyBorder="1"/>
    <xf numFmtId="0" fontId="9" fillId="0" borderId="19" xfId="0" applyFon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6" fillId="7" borderId="20" xfId="11" applyFont="1" applyBorder="1" applyAlignment="1">
      <alignment horizontal="center"/>
    </xf>
    <xf numFmtId="44" fontId="9" fillId="0" borderId="3" xfId="0" applyNumberFormat="1" applyFont="1" applyBorder="1"/>
    <xf numFmtId="0" fontId="9" fillId="0" borderId="21" xfId="0" applyFont="1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6" fillId="7" borderId="27" xfId="11" applyFont="1" applyBorder="1" applyAlignment="1">
      <alignment horizontal="center"/>
    </xf>
    <xf numFmtId="44" fontId="9" fillId="0" borderId="16" xfId="0" applyNumberFormat="1" applyFont="1" applyBorder="1"/>
    <xf numFmtId="0" fontId="9" fillId="0" borderId="28" xfId="0" applyFont="1" applyBorder="1" applyAlignment="1">
      <alignment horizontal="center"/>
    </xf>
    <xf numFmtId="0" fontId="1" fillId="9" borderId="3" xfId="13" applyBorder="1"/>
    <xf numFmtId="0" fontId="1" fillId="6" borderId="29" xfId="10" applyBorder="1" applyAlignment="1">
      <alignment horizontal="center" vertical="center"/>
    </xf>
    <xf numFmtId="2" fontId="9" fillId="11" borderId="27" xfId="15" applyNumberFormat="1" applyFont="1" applyBorder="1" applyAlignment="1">
      <alignment horizontal="center" vertical="center"/>
    </xf>
    <xf numFmtId="0" fontId="9" fillId="11" borderId="28" xfId="15" applyFont="1" applyBorder="1" applyAlignment="1">
      <alignment horizontal="center" vertical="center"/>
    </xf>
    <xf numFmtId="0" fontId="10" fillId="17" borderId="30" xfId="2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6" fillId="7" borderId="12" xfId="11" applyFont="1" applyBorder="1" applyAlignment="1">
      <alignment horizontal="center"/>
    </xf>
    <xf numFmtId="44" fontId="9" fillId="0" borderId="13" xfId="0" applyNumberFormat="1" applyFont="1" applyBorder="1"/>
    <xf numFmtId="44" fontId="9" fillId="0" borderId="0" xfId="0" applyNumberFormat="1" applyFont="1"/>
    <xf numFmtId="0" fontId="6" fillId="7" borderId="30" xfId="11" applyFont="1" applyBorder="1" applyAlignment="1">
      <alignment horizontal="center"/>
    </xf>
    <xf numFmtId="44" fontId="0" fillId="0" borderId="9" xfId="0" applyNumberFormat="1" applyBorder="1"/>
    <xf numFmtId="169" fontId="0" fillId="0" borderId="3" xfId="0" applyNumberFormat="1" applyBorder="1" applyAlignment="1">
      <alignment horizontal="center"/>
    </xf>
    <xf numFmtId="0" fontId="10" fillId="5" borderId="3" xfId="9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2" xfId="0" applyBorder="1"/>
    <xf numFmtId="2" fontId="0" fillId="0" borderId="32" xfId="0" applyNumberFormat="1" applyBorder="1" applyAlignment="1">
      <alignment horizontal="center"/>
    </xf>
    <xf numFmtId="2" fontId="7" fillId="0" borderId="32" xfId="0" applyNumberFormat="1" applyFont="1" applyBorder="1" applyAlignment="1">
      <alignment horizontal="left"/>
    </xf>
    <xf numFmtId="0" fontId="10" fillId="21" borderId="3" xfId="25" applyBorder="1" applyAlignment="1">
      <alignment horizontal="center" vertical="center"/>
    </xf>
    <xf numFmtId="0" fontId="9" fillId="22" borderId="3" xfId="26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" fillId="22" borderId="3" xfId="26" applyBorder="1" applyAlignment="1">
      <alignment horizontal="center" vertical="center"/>
    </xf>
    <xf numFmtId="0" fontId="0" fillId="22" borderId="3" xfId="26" applyFont="1" applyBorder="1" applyAlignment="1">
      <alignment horizontal="center" vertical="center"/>
    </xf>
    <xf numFmtId="0" fontId="13" fillId="22" borderId="3" xfId="26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0" fillId="17" borderId="3" xfId="21" applyBorder="1" applyAlignment="1">
      <alignment horizontal="center" vertical="center"/>
    </xf>
    <xf numFmtId="0" fontId="9" fillId="18" borderId="3" xfId="22" applyFont="1" applyBorder="1" applyAlignment="1">
      <alignment horizontal="center" vertical="center"/>
    </xf>
    <xf numFmtId="0" fontId="10" fillId="10" borderId="3" xfId="14" applyBorder="1" applyAlignment="1">
      <alignment horizontal="center" vertical="center"/>
    </xf>
    <xf numFmtId="0" fontId="1" fillId="11" borderId="3" xfId="15" applyBorder="1" applyAlignment="1">
      <alignment horizontal="center" vertical="center"/>
    </xf>
    <xf numFmtId="0" fontId="0" fillId="11" borderId="3" xfId="15" applyFont="1" applyBorder="1" applyAlignment="1">
      <alignment horizontal="center" vertical="center"/>
    </xf>
    <xf numFmtId="0" fontId="1" fillId="8" borderId="3" xfId="12" applyBorder="1" applyAlignment="1">
      <alignment horizontal="center" vertical="center"/>
    </xf>
    <xf numFmtId="0" fontId="7" fillId="0" borderId="0" xfId="0" applyFont="1" applyAlignment="1">
      <alignment horizontal="right"/>
    </xf>
    <xf numFmtId="2" fontId="0" fillId="0" borderId="0" xfId="0" applyNumberFormat="1" applyAlignment="1">
      <alignment horizontal="center" vertical="center"/>
    </xf>
    <xf numFmtId="0" fontId="1" fillId="8" borderId="3" xfId="12" applyBorder="1" applyAlignment="1">
      <alignment horizontal="center"/>
    </xf>
    <xf numFmtId="0" fontId="0" fillId="24" borderId="3" xfId="0" applyFill="1" applyBorder="1" applyAlignment="1">
      <alignment horizontal="center"/>
    </xf>
    <xf numFmtId="2" fontId="0" fillId="0" borderId="32" xfId="0" applyNumberFormat="1" applyBorder="1" applyAlignment="1">
      <alignment horizontal="center" vertical="center"/>
    </xf>
    <xf numFmtId="0" fontId="26" fillId="0" borderId="0" xfId="0" applyFont="1"/>
    <xf numFmtId="0" fontId="10" fillId="14" borderId="3" xfId="18" applyBorder="1" applyAlignment="1">
      <alignment horizontal="center" vertical="center"/>
    </xf>
    <xf numFmtId="0" fontId="1" fillId="15" borderId="3" xfId="19" applyBorder="1" applyAlignment="1">
      <alignment horizontal="center" vertical="center"/>
    </xf>
    <xf numFmtId="165" fontId="26" fillId="0" borderId="3" xfId="0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7" fillId="0" borderId="32" xfId="0" applyFont="1" applyBorder="1" applyAlignment="1">
      <alignment horizontal="right"/>
    </xf>
    <xf numFmtId="0" fontId="7" fillId="0" borderId="32" xfId="6" applyBorder="1"/>
    <xf numFmtId="0" fontId="8" fillId="0" borderId="32" xfId="8" applyBorder="1"/>
    <xf numFmtId="0" fontId="1" fillId="15" borderId="9" xfId="19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11" fillId="0" borderId="0" xfId="28" applyBorder="1" applyAlignment="1">
      <alignment horizontal="center" vertical="center"/>
    </xf>
    <xf numFmtId="0" fontId="0" fillId="8" borderId="3" xfId="12" applyFont="1" applyBorder="1" applyAlignment="1">
      <alignment horizontal="center" vertical="center"/>
    </xf>
    <xf numFmtId="0" fontId="0" fillId="8" borderId="3" xfId="12" applyFont="1" applyBorder="1" applyAlignment="1">
      <alignment horizontal="center"/>
    </xf>
    <xf numFmtId="164" fontId="8" fillId="0" borderId="0" xfId="8" applyNumberFormat="1" applyAlignment="1">
      <alignment horizontal="center"/>
    </xf>
    <xf numFmtId="164" fontId="0" fillId="0" borderId="0" xfId="0" applyNumberFormat="1"/>
    <xf numFmtId="0" fontId="10" fillId="21" borderId="3" xfId="25" applyBorder="1" applyAlignment="1">
      <alignment horizontal="center" vertical="center" wrapText="1"/>
    </xf>
    <xf numFmtId="11" fontId="0" fillId="0" borderId="3" xfId="0" applyNumberFormat="1" applyBorder="1" applyAlignment="1">
      <alignment horizontal="center"/>
    </xf>
    <xf numFmtId="0" fontId="26" fillId="22" borderId="3" xfId="26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11" fontId="4" fillId="2" borderId="3" xfId="4" applyNumberFormat="1" applyBorder="1" applyAlignment="1">
      <alignment horizontal="center"/>
    </xf>
    <xf numFmtId="11" fontId="26" fillId="0" borderId="3" xfId="0" applyNumberFormat="1" applyFont="1" applyBorder="1" applyAlignment="1">
      <alignment horizontal="center"/>
    </xf>
    <xf numFmtId="2" fontId="8" fillId="0" borderId="0" xfId="8" applyNumberFormat="1" applyAlignment="1">
      <alignment horizontal="center"/>
    </xf>
    <xf numFmtId="0" fontId="7" fillId="0" borderId="3" xfId="0" applyFont="1" applyBorder="1" applyAlignment="1">
      <alignment horizontal="center"/>
    </xf>
    <xf numFmtId="165" fontId="0" fillId="0" borderId="0" xfId="0" applyNumberFormat="1"/>
    <xf numFmtId="167" fontId="26" fillId="0" borderId="3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1" fontId="0" fillId="0" borderId="0" xfId="0" applyNumberFormat="1"/>
    <xf numFmtId="0" fontId="10" fillId="21" borderId="3" xfId="25" applyBorder="1" applyAlignment="1">
      <alignment horizontal="center"/>
    </xf>
    <xf numFmtId="0" fontId="10" fillId="7" borderId="3" xfId="1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2" applyFill="1" applyAlignment="1">
      <alignment horizontal="center"/>
    </xf>
    <xf numFmtId="0" fontId="10" fillId="7" borderId="10" xfId="11" applyBorder="1" applyAlignment="1">
      <alignment horizontal="center" vertical="center"/>
    </xf>
    <xf numFmtId="0" fontId="10" fillId="7" borderId="9" xfId="1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12" borderId="10" xfId="16" applyFont="1" applyBorder="1" applyAlignment="1">
      <alignment horizontal="center" vertical="center" wrapText="1"/>
    </xf>
    <xf numFmtId="0" fontId="0" fillId="12" borderId="9" xfId="16" applyFont="1" applyBorder="1" applyAlignment="1">
      <alignment horizontal="center" vertical="center" wrapText="1"/>
    </xf>
    <xf numFmtId="0" fontId="0" fillId="16" borderId="4" xfId="20" applyFont="1" applyBorder="1" applyAlignment="1">
      <alignment horizontal="center"/>
    </xf>
    <xf numFmtId="0" fontId="0" fillId="16" borderId="5" xfId="20" applyFont="1" applyBorder="1" applyAlignment="1">
      <alignment horizontal="center"/>
    </xf>
    <xf numFmtId="0" fontId="0" fillId="16" borderId="6" xfId="20" applyFont="1" applyBorder="1" applyAlignment="1">
      <alignment horizontal="center"/>
    </xf>
    <xf numFmtId="0" fontId="1" fillId="16" borderId="4" xfId="20" applyBorder="1" applyAlignment="1">
      <alignment horizontal="center"/>
    </xf>
    <xf numFmtId="0" fontId="1" fillId="16" borderId="5" xfId="20" applyBorder="1" applyAlignment="1">
      <alignment horizontal="center"/>
    </xf>
    <xf numFmtId="0" fontId="1" fillId="16" borderId="6" xfId="20" applyBorder="1" applyAlignment="1">
      <alignment horizontal="center"/>
    </xf>
    <xf numFmtId="0" fontId="0" fillId="15" borderId="10" xfId="19" applyFont="1" applyBorder="1" applyAlignment="1">
      <alignment horizontal="center" vertical="center"/>
    </xf>
    <xf numFmtId="0" fontId="0" fillId="15" borderId="9" xfId="19" applyFont="1" applyBorder="1" applyAlignment="1">
      <alignment horizontal="center" vertical="center"/>
    </xf>
    <xf numFmtId="0" fontId="10" fillId="7" borderId="3" xfId="11" applyBorder="1" applyAlignment="1">
      <alignment horizontal="center"/>
    </xf>
    <xf numFmtId="0" fontId="10" fillId="14" borderId="3" xfId="18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10" fillId="21" borderId="3" xfId="25" applyBorder="1" applyAlignment="1">
      <alignment horizontal="left"/>
    </xf>
    <xf numFmtId="0" fontId="1" fillId="12" borderId="10" xfId="16" applyBorder="1" applyAlignment="1">
      <alignment horizontal="center" vertical="center"/>
    </xf>
    <xf numFmtId="0" fontId="1" fillId="12" borderId="9" xfId="16" applyBorder="1" applyAlignment="1">
      <alignment horizontal="center" vertical="center"/>
    </xf>
    <xf numFmtId="0" fontId="1" fillId="12" borderId="11" xfId="16" applyBorder="1" applyAlignment="1">
      <alignment horizontal="center" vertical="center"/>
    </xf>
    <xf numFmtId="0" fontId="1" fillId="12" borderId="15" xfId="16" applyBorder="1" applyAlignment="1">
      <alignment horizontal="center" vertical="center"/>
    </xf>
    <xf numFmtId="0" fontId="10" fillId="7" borderId="4" xfId="11" applyBorder="1" applyAlignment="1">
      <alignment horizontal="center"/>
    </xf>
    <xf numFmtId="0" fontId="10" fillId="7" borderId="5" xfId="11" applyBorder="1" applyAlignment="1">
      <alignment horizontal="center"/>
    </xf>
    <xf numFmtId="0" fontId="10" fillId="7" borderId="6" xfId="11" applyBorder="1" applyAlignment="1">
      <alignment horizontal="center"/>
    </xf>
    <xf numFmtId="0" fontId="10" fillId="10" borderId="3" xfId="14" applyBorder="1" applyAlignment="1">
      <alignment horizontal="center"/>
    </xf>
    <xf numFmtId="0" fontId="1" fillId="13" borderId="3" xfId="17" applyBorder="1" applyAlignment="1">
      <alignment horizontal="center"/>
    </xf>
    <xf numFmtId="0" fontId="2" fillId="0" borderId="1" xfId="2" applyAlignment="1">
      <alignment horizontal="center"/>
    </xf>
    <xf numFmtId="0" fontId="1" fillId="9" borderId="3" xfId="13" applyBorder="1" applyAlignment="1">
      <alignment horizontal="center" vertical="center"/>
    </xf>
    <xf numFmtId="0" fontId="1" fillId="23" borderId="3" xfId="27" applyBorder="1" applyAlignment="1">
      <alignment horizontal="center"/>
    </xf>
    <xf numFmtId="0" fontId="10" fillId="17" borderId="3" xfId="21" applyBorder="1" applyAlignment="1">
      <alignment horizontal="center"/>
    </xf>
    <xf numFmtId="0" fontId="13" fillId="6" borderId="3" xfId="10" applyFont="1" applyBorder="1" applyAlignment="1">
      <alignment horizontal="center" vertical="center"/>
    </xf>
    <xf numFmtId="0" fontId="10" fillId="5" borderId="4" xfId="9" applyBorder="1" applyAlignment="1">
      <alignment horizontal="center" vertical="center"/>
    </xf>
    <xf numFmtId="0" fontId="10" fillId="5" borderId="5" xfId="9" applyBorder="1" applyAlignment="1">
      <alignment horizontal="center" vertical="center"/>
    </xf>
    <xf numFmtId="0" fontId="10" fillId="5" borderId="6" xfId="9" applyBorder="1" applyAlignment="1">
      <alignment horizontal="center" vertical="center"/>
    </xf>
    <xf numFmtId="0" fontId="0" fillId="6" borderId="10" xfId="10" applyFont="1" applyBorder="1" applyAlignment="1">
      <alignment horizontal="center" vertical="center"/>
    </xf>
    <xf numFmtId="0" fontId="0" fillId="6" borderId="9" xfId="10" applyFont="1" applyBorder="1" applyAlignment="1">
      <alignment horizontal="center" vertical="center"/>
    </xf>
    <xf numFmtId="0" fontId="0" fillId="6" borderId="11" xfId="10" applyFont="1" applyBorder="1" applyAlignment="1">
      <alignment horizontal="center" vertical="center"/>
    </xf>
    <xf numFmtId="0" fontId="13" fillId="6" borderId="8" xfId="10" applyFont="1" applyBorder="1" applyAlignment="1">
      <alignment horizontal="center" vertical="center"/>
    </xf>
    <xf numFmtId="0" fontId="13" fillId="6" borderId="9" xfId="10" applyFont="1" applyBorder="1" applyAlignment="1">
      <alignment horizontal="center" vertical="center"/>
    </xf>
    <xf numFmtId="0" fontId="15" fillId="5" borderId="4" xfId="9" applyFont="1" applyBorder="1" applyAlignment="1">
      <alignment horizontal="center" vertical="center"/>
    </xf>
    <xf numFmtId="0" fontId="15" fillId="5" borderId="5" xfId="9" applyFont="1" applyBorder="1" applyAlignment="1">
      <alignment horizontal="center" vertical="center"/>
    </xf>
    <xf numFmtId="0" fontId="15" fillId="5" borderId="6" xfId="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8" borderId="3" xfId="1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3" applyBorder="1" applyAlignment="1">
      <alignment horizontal="center"/>
    </xf>
    <xf numFmtId="0" fontId="11" fillId="0" borderId="4" xfId="28" applyBorder="1" applyAlignment="1">
      <alignment horizontal="center"/>
    </xf>
    <xf numFmtId="0" fontId="1" fillId="8" borderId="3" xfId="12" applyBorder="1" applyAlignment="1">
      <alignment horizontal="center" vertical="center" wrapText="1"/>
    </xf>
    <xf numFmtId="0" fontId="13" fillId="0" borderId="4" xfId="28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28" applyFont="1" applyBorder="1" applyAlignment="1">
      <alignment horizontal="center" vertical="center"/>
    </xf>
    <xf numFmtId="0" fontId="11" fillId="0" borderId="36" xfId="28" applyBorder="1" applyAlignment="1">
      <alignment horizontal="center" vertical="center"/>
    </xf>
    <xf numFmtId="0" fontId="11" fillId="0" borderId="37" xfId="28" applyBorder="1" applyAlignment="1">
      <alignment horizontal="center" vertical="center"/>
    </xf>
    <xf numFmtId="0" fontId="11" fillId="0" borderId="38" xfId="28" applyBorder="1" applyAlignment="1">
      <alignment horizontal="center" vertical="center"/>
    </xf>
    <xf numFmtId="0" fontId="11" fillId="0" borderId="33" xfId="28" applyBorder="1" applyAlignment="1">
      <alignment horizontal="center" vertical="center"/>
    </xf>
    <xf numFmtId="0" fontId="11" fillId="0" borderId="34" xfId="28" applyBorder="1" applyAlignment="1">
      <alignment horizontal="center" vertical="center"/>
    </xf>
    <xf numFmtId="0" fontId="11" fillId="0" borderId="35" xfId="28" applyBorder="1" applyAlignment="1">
      <alignment horizontal="center" vertical="center"/>
    </xf>
    <xf numFmtId="0" fontId="1" fillId="8" borderId="10" xfId="12" applyBorder="1" applyAlignment="1">
      <alignment horizontal="center" vertical="center"/>
    </xf>
    <xf numFmtId="0" fontId="1" fillId="8" borderId="9" xfId="12" applyBorder="1" applyAlignment="1">
      <alignment horizontal="center" vertical="center"/>
    </xf>
    <xf numFmtId="0" fontId="11" fillId="0" borderId="3" xfId="28" applyBorder="1" applyAlignment="1">
      <alignment horizontal="center"/>
    </xf>
    <xf numFmtId="0" fontId="10" fillId="17" borderId="4" xfId="21" applyBorder="1" applyAlignment="1">
      <alignment horizontal="center" vertical="center"/>
    </xf>
    <xf numFmtId="0" fontId="10" fillId="17" borderId="5" xfId="21" applyBorder="1" applyAlignment="1">
      <alignment horizontal="center" vertical="center"/>
    </xf>
    <xf numFmtId="0" fontId="10" fillId="17" borderId="6" xfId="2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10" fillId="21" borderId="3" xfId="25" applyBorder="1" applyAlignment="1">
      <alignment horizontal="center" vertical="center"/>
    </xf>
    <xf numFmtId="0" fontId="10" fillId="14" borderId="4" xfId="18" applyBorder="1" applyAlignment="1">
      <alignment horizontal="center" vertical="center"/>
    </xf>
    <xf numFmtId="0" fontId="10" fillId="14" borderId="5" xfId="18" applyBorder="1" applyAlignment="1">
      <alignment horizontal="center" vertical="center"/>
    </xf>
    <xf numFmtId="0" fontId="10" fillId="14" borderId="6" xfId="18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3" fillId="0" borderId="17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0" fontId="10" fillId="10" borderId="4" xfId="14" applyBorder="1" applyAlignment="1">
      <alignment horizontal="center" vertical="center"/>
    </xf>
    <xf numFmtId="0" fontId="10" fillId="10" borderId="5" xfId="14" applyBorder="1" applyAlignment="1">
      <alignment horizontal="center" vertical="center"/>
    </xf>
    <xf numFmtId="0" fontId="10" fillId="10" borderId="6" xfId="14" applyBorder="1" applyAlignment="1">
      <alignment horizontal="center" vertical="center"/>
    </xf>
    <xf numFmtId="0" fontId="10" fillId="7" borderId="4" xfId="11" applyBorder="1" applyAlignment="1">
      <alignment horizontal="center" vertical="center"/>
    </xf>
    <xf numFmtId="0" fontId="10" fillId="7" borderId="5" xfId="11" applyBorder="1" applyAlignment="1">
      <alignment horizontal="center" vertical="center"/>
    </xf>
    <xf numFmtId="0" fontId="10" fillId="7" borderId="6" xfId="1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4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6" xfId="3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22" borderId="3" xfId="26" applyBorder="1" applyAlignment="1">
      <alignment horizontal="center" vertical="center"/>
    </xf>
    <xf numFmtId="167" fontId="0" fillId="0" borderId="0" xfId="0" applyNumberFormat="1"/>
    <xf numFmtId="0" fontId="1" fillId="22" borderId="3" xfId="26" applyBorder="1" applyAlignment="1">
      <alignment horizontal="center" vertical="center" wrapText="1"/>
    </xf>
    <xf numFmtId="0" fontId="8" fillId="0" borderId="0" xfId="8" applyAlignment="1">
      <alignment horizontal="right" vertical="center"/>
    </xf>
    <xf numFmtId="167" fontId="0" fillId="0" borderId="3" xfId="1" applyNumberFormat="1" applyFont="1" applyBorder="1" applyAlignment="1">
      <alignment horizontal="center" vertical="center"/>
    </xf>
    <xf numFmtId="0" fontId="10" fillId="21" borderId="4" xfId="25" applyBorder="1" applyAlignment="1">
      <alignment horizontal="center" vertical="center" wrapText="1"/>
    </xf>
  </cellXfs>
  <cellStyles count="29">
    <cellStyle name="20% - Énfasis1" xfId="10" builtinId="30"/>
    <cellStyle name="20% - Énfasis2" xfId="12" builtinId="34"/>
    <cellStyle name="20% - Énfasis3" xfId="15" builtinId="38"/>
    <cellStyle name="20% - Énfasis4" xfId="19" builtinId="42"/>
    <cellStyle name="20% - Énfasis5" xfId="22" builtinId="46"/>
    <cellStyle name="20% - Énfasis6" xfId="26" builtinId="50"/>
    <cellStyle name="40% - Énfasis2" xfId="13" builtinId="35"/>
    <cellStyle name="40% - Énfasis3" xfId="16" builtinId="39"/>
    <cellStyle name="40% - Énfasis5" xfId="23" builtinId="47"/>
    <cellStyle name="40% - Énfasis6" xfId="27" builtinId="51"/>
    <cellStyle name="60% - Énfasis3" xfId="17" builtinId="40"/>
    <cellStyle name="60% - Énfasis4" xfId="20" builtinId="44"/>
    <cellStyle name="60% - Énfasis5" xfId="24" builtinId="48"/>
    <cellStyle name="Encabezado 1" xfId="2" builtinId="16"/>
    <cellStyle name="Encabezado 4" xfId="3" builtinId="19"/>
    <cellStyle name="Énfasis1" xfId="9" builtinId="29"/>
    <cellStyle name="Énfasis2" xfId="11" builtinId="33"/>
    <cellStyle name="Énfasis3" xfId="14" builtinId="37"/>
    <cellStyle name="Énfasis4" xfId="18" builtinId="41"/>
    <cellStyle name="Énfasis5" xfId="21" builtinId="45"/>
    <cellStyle name="Énfasis6" xfId="25" builtinId="49"/>
    <cellStyle name="Hipervínculo" xfId="28" builtinId="8"/>
    <cellStyle name="Incorrecto" xfId="4" builtinId="27"/>
    <cellStyle name="Neutral" xfId="5" builtinId="28"/>
    <cellStyle name="Normal" xfId="0" builtinId="0"/>
    <cellStyle name="Notas" xfId="7" builtinId="10"/>
    <cellStyle name="Porcentaje" xfId="1" builtinId="5"/>
    <cellStyle name="Texto de advertencia" xfId="6" builtinId="11"/>
    <cellStyle name="Texto explicativo" xfId="8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6-4D51-8481-AA9BF7D9A53C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36-4D51-8481-AA9BF7D9A53C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36-4D51-8481-AA9BF7D9A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'Escenario 3'!$S$133:$S$135</c:f>
              <c:numCache>
                <c:formatCode>0%</c:formatCode>
                <c:ptCount val="3"/>
                <c:pt idx="0">
                  <c:v>0.14575767702470677</c:v>
                </c:pt>
                <c:pt idx="1">
                  <c:v>0.38206091620554328</c:v>
                </c:pt>
                <c:pt idx="2">
                  <c:v>0.47218140676975007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OMC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936-4D51-8481-AA9BF7D9A5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CO2'!$O$81</c:f>
              <c:strCache>
                <c:ptCount val="1"/>
                <c:pt idx="0">
                  <c:v>Biopesticide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CO2'!$O$82:$O$96</c:f>
              <c:numCache>
                <c:formatCode>0.0%</c:formatCode>
                <c:ptCount val="15"/>
                <c:pt idx="0">
                  <c:v>0</c:v>
                </c:pt>
                <c:pt idx="1">
                  <c:v>0.69589836300866292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0.97887350779100035</c:v>
                </c:pt>
                <c:pt idx="6">
                  <c:v>4.0870785605698554E-3</c:v>
                </c:pt>
                <c:pt idx="7">
                  <c:v>4.200276951978851E-3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1-4174-B3BF-174D848D67E3}"/>
            </c:ext>
          </c:extLst>
        </c:ser>
        <c:ser>
          <c:idx val="1"/>
          <c:order val="1"/>
          <c:tx>
            <c:strRef>
              <c:f>'Results Pure CO2'!$P$81</c:f>
              <c:strCache>
                <c:ptCount val="1"/>
                <c:pt idx="0">
                  <c:v>Biopesticide separation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CO2'!$P$82:$P$96</c:f>
              <c:numCache>
                <c:formatCode>0.0%</c:formatCode>
                <c:ptCount val="15"/>
                <c:pt idx="0">
                  <c:v>0.99996297593990102</c:v>
                </c:pt>
                <c:pt idx="1">
                  <c:v>0.3034889815570801</c:v>
                </c:pt>
                <c:pt idx="2">
                  <c:v>0.98882598723160087</c:v>
                </c:pt>
                <c:pt idx="3">
                  <c:v>0.98823021962002822</c:v>
                </c:pt>
                <c:pt idx="4">
                  <c:v>0.98172750178691948</c:v>
                </c:pt>
                <c:pt idx="5">
                  <c:v>2.0964508220930274E-2</c:v>
                </c:pt>
                <c:pt idx="6">
                  <c:v>0.99546312655022462</c:v>
                </c:pt>
                <c:pt idx="7">
                  <c:v>0.99354222549313909</c:v>
                </c:pt>
                <c:pt idx="8">
                  <c:v>0.98525443359121878</c:v>
                </c:pt>
                <c:pt idx="9">
                  <c:v>0.99955860010388753</c:v>
                </c:pt>
                <c:pt idx="10">
                  <c:v>0.99046686117236948</c:v>
                </c:pt>
                <c:pt idx="11">
                  <c:v>0.99942116577682827</c:v>
                </c:pt>
                <c:pt idx="12">
                  <c:v>0.96588797182252739</c:v>
                </c:pt>
                <c:pt idx="13">
                  <c:v>0.98214542108062797</c:v>
                </c:pt>
                <c:pt idx="14">
                  <c:v>0.99875291060200422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1-4174-B3BF-174D848D67E3}"/>
            </c:ext>
          </c:extLst>
        </c:ser>
        <c:ser>
          <c:idx val="2"/>
          <c:order val="2"/>
          <c:tx>
            <c:strRef>
              <c:f>'Results Pure CO2'!$Q$81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CO2'!$Q$82:$Q$96</c:f>
              <c:numCache>
                <c:formatCode>0.0%</c:formatCode>
                <c:ptCount val="15"/>
                <c:pt idx="0">
                  <c:v>2.8150897277195673E-5</c:v>
                </c:pt>
                <c:pt idx="1">
                  <c:v>5.9476434485515486E-4</c:v>
                </c:pt>
                <c:pt idx="2">
                  <c:v>1.1121415759394666E-2</c:v>
                </c:pt>
                <c:pt idx="3">
                  <c:v>1.0583616561562701E-2</c:v>
                </c:pt>
                <c:pt idx="4">
                  <c:v>1.7569709820269855E-2</c:v>
                </c:pt>
                <c:pt idx="5">
                  <c:v>1.6192199274709464E-4</c:v>
                </c:pt>
                <c:pt idx="6">
                  <c:v>3.0058408461333859E-4</c:v>
                </c:pt>
                <c:pt idx="7">
                  <c:v>2.0577725701337308E-3</c:v>
                </c:pt>
                <c:pt idx="8">
                  <c:v>1.4712431454462018E-2</c:v>
                </c:pt>
                <c:pt idx="9">
                  <c:v>0</c:v>
                </c:pt>
                <c:pt idx="10">
                  <c:v>9.4970581239032462E-3</c:v>
                </c:pt>
                <c:pt idx="11">
                  <c:v>5.6237448222847648E-4</c:v>
                </c:pt>
                <c:pt idx="12">
                  <c:v>3.408565237503957E-2</c:v>
                </c:pt>
                <c:pt idx="13">
                  <c:v>1.7838791278310378E-2</c:v>
                </c:pt>
                <c:pt idx="14">
                  <c:v>1.104647951604792E-3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1-4174-B3BF-174D848D67E3}"/>
            </c:ext>
          </c:extLst>
        </c:ser>
        <c:ser>
          <c:idx val="3"/>
          <c:order val="3"/>
          <c:tx>
            <c:strRef>
              <c:f>'Results Pure CO2'!$R$81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CO2'!$R$82:$R$96</c:f>
              <c:numCache>
                <c:formatCode>0.0%</c:formatCode>
                <c:ptCount val="15"/>
                <c:pt idx="0">
                  <c:v>8.8731628217720762E-6</c:v>
                </c:pt>
                <c:pt idx="1">
                  <c:v>1.789108940191822E-5</c:v>
                </c:pt>
                <c:pt idx="2">
                  <c:v>5.2597009004544578E-5</c:v>
                </c:pt>
                <c:pt idx="3">
                  <c:v>1.1861638184091027E-3</c:v>
                </c:pt>
                <c:pt idx="4">
                  <c:v>7.0278839281079418E-4</c:v>
                </c:pt>
                <c:pt idx="5">
                  <c:v>6.1995322160096689E-8</c:v>
                </c:pt>
                <c:pt idx="6">
                  <c:v>1.4921080459223281E-4</c:v>
                </c:pt>
                <c:pt idx="7">
                  <c:v>1.9972498474827389E-4</c:v>
                </c:pt>
                <c:pt idx="8">
                  <c:v>3.3134954319179675E-5</c:v>
                </c:pt>
                <c:pt idx="9">
                  <c:v>4.4139989611251073E-4</c:v>
                </c:pt>
                <c:pt idx="10">
                  <c:v>3.6080703727136697E-5</c:v>
                </c:pt>
                <c:pt idx="11">
                  <c:v>1.6459740943272482E-5</c:v>
                </c:pt>
                <c:pt idx="12">
                  <c:v>2.6375802433066328E-5</c:v>
                </c:pt>
                <c:pt idx="13">
                  <c:v>1.5787641061640542E-5</c:v>
                </c:pt>
                <c:pt idx="14">
                  <c:v>1.4244144639114425E-4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D1-4174-B3BF-174D848D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CO2'!$P$119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CO2'!$P$120:$P$134</c:f>
              <c:numCache>
                <c:formatCode>0.0%</c:formatCode>
                <c:ptCount val="15"/>
                <c:pt idx="0">
                  <c:v>1.4305938325868978E-2</c:v>
                </c:pt>
                <c:pt idx="1">
                  <c:v>0.21144542594107824</c:v>
                </c:pt>
                <c:pt idx="2">
                  <c:v>5.4787483986709844E-2</c:v>
                </c:pt>
                <c:pt idx="3">
                  <c:v>0.95780134773894698</c:v>
                </c:pt>
                <c:pt idx="4">
                  <c:v>0.8979491982716854</c:v>
                </c:pt>
                <c:pt idx="5">
                  <c:v>8.1942066421724497E-3</c:v>
                </c:pt>
                <c:pt idx="6">
                  <c:v>0.24839889071404309</c:v>
                </c:pt>
                <c:pt idx="7">
                  <c:v>0.59227557079846127</c:v>
                </c:pt>
                <c:pt idx="8">
                  <c:v>3.2188511832144148E-2</c:v>
                </c:pt>
                <c:pt idx="9">
                  <c:v>0.9116038515464685</c:v>
                </c:pt>
                <c:pt idx="10">
                  <c:v>3.4102512604712892E-2</c:v>
                </c:pt>
                <c:pt idx="11">
                  <c:v>4.0122279128843336E-2</c:v>
                </c:pt>
                <c:pt idx="12">
                  <c:v>3.7862388617028953E-2</c:v>
                </c:pt>
                <c:pt idx="13">
                  <c:v>1.944181014885615E-2</c:v>
                </c:pt>
                <c:pt idx="14">
                  <c:v>0.94735949317609403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B-406E-A2EB-3529685DD154}"/>
            </c:ext>
          </c:extLst>
        </c:ser>
        <c:ser>
          <c:idx val="1"/>
          <c:order val="1"/>
          <c:tx>
            <c:strRef>
              <c:f>'Results Pure CO2'!$Q$119</c:f>
              <c:strCache>
                <c:ptCount val="1"/>
                <c:pt idx="0">
                  <c:v>Acetone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CO2'!$Q$120:$Q$134</c:f>
              <c:numCache>
                <c:formatCode>0.0%</c:formatCode>
                <c:ptCount val="15"/>
                <c:pt idx="0">
                  <c:v>0.98549353508741611</c:v>
                </c:pt>
                <c:pt idx="1">
                  <c:v>0.78722647639064525</c:v>
                </c:pt>
                <c:pt idx="2">
                  <c:v>0.944009055168338</c:v>
                </c:pt>
                <c:pt idx="3">
                  <c:v>1.4916134924039117E-2</c:v>
                </c:pt>
                <c:pt idx="4">
                  <c:v>8.5741312867212635E-2</c:v>
                </c:pt>
                <c:pt idx="5">
                  <c:v>0.99173901934762365</c:v>
                </c:pt>
                <c:pt idx="6">
                  <c:v>0.74821181711374329</c:v>
                </c:pt>
                <c:pt idx="7">
                  <c:v>0.40318282559459589</c:v>
                </c:pt>
                <c:pt idx="8">
                  <c:v>0.96705165914564217</c:v>
                </c:pt>
                <c:pt idx="9">
                  <c:v>7.8368013965105829E-2</c:v>
                </c:pt>
                <c:pt idx="10">
                  <c:v>0.9650742592517525</c:v>
                </c:pt>
                <c:pt idx="11">
                  <c:v>0.9595058656796327</c:v>
                </c:pt>
                <c:pt idx="12">
                  <c:v>0.96152493722765753</c:v>
                </c:pt>
                <c:pt idx="13">
                  <c:v>0.98017817861513079</c:v>
                </c:pt>
                <c:pt idx="14">
                  <c:v>4.6832534967678176E-2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B-406E-A2EB-3529685DD154}"/>
            </c:ext>
          </c:extLst>
        </c:ser>
        <c:ser>
          <c:idx val="2"/>
          <c:order val="2"/>
          <c:tx>
            <c:strRef>
              <c:f>'Results Pure CO2'!$R$119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CO2'!$R$120:$R$134</c:f>
              <c:numCache>
                <c:formatCode>0.0%</c:formatCode>
                <c:ptCount val="15"/>
                <c:pt idx="0">
                  <c:v>7.6097239926750052E-11</c:v>
                </c:pt>
                <c:pt idx="1">
                  <c:v>2.8574518284255861E-8</c:v>
                </c:pt>
                <c:pt idx="2">
                  <c:v>1.5591375362780291E-9</c:v>
                </c:pt>
                <c:pt idx="3">
                  <c:v>6.7470392687493E-7</c:v>
                </c:pt>
                <c:pt idx="4">
                  <c:v>4.9083795047172457E-13</c:v>
                </c:pt>
                <c:pt idx="5">
                  <c:v>1.6652334280090694E-8</c:v>
                </c:pt>
                <c:pt idx="6">
                  <c:v>3.3446554738528259E-6</c:v>
                </c:pt>
                <c:pt idx="7">
                  <c:v>3.9623139756710285E-9</c:v>
                </c:pt>
                <c:pt idx="8">
                  <c:v>2.7185993070880038E-9</c:v>
                </c:pt>
                <c:pt idx="9">
                  <c:v>0</c:v>
                </c:pt>
                <c:pt idx="10">
                  <c:v>3.0713995003650283E-8</c:v>
                </c:pt>
                <c:pt idx="11">
                  <c:v>0</c:v>
                </c:pt>
                <c:pt idx="12">
                  <c:v>1.0966152176646012E-12</c:v>
                </c:pt>
                <c:pt idx="13">
                  <c:v>2.8348290459947408E-6</c:v>
                </c:pt>
                <c:pt idx="14">
                  <c:v>2.577633223811578E-3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7B-406E-A2EB-3529685DD154}"/>
            </c:ext>
          </c:extLst>
        </c:ser>
        <c:ser>
          <c:idx val="3"/>
          <c:order val="3"/>
          <c:tx>
            <c:strRef>
              <c:f>'Results Pure CO2'!$S$119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CO2'!$S$120:$S$134</c:f>
              <c:numCache>
                <c:formatCode>0.0%</c:formatCode>
                <c:ptCount val="15"/>
                <c:pt idx="0">
                  <c:v>2.0052651061778728E-4</c:v>
                </c:pt>
                <c:pt idx="1">
                  <c:v>1.3280690937582643E-3</c:v>
                </c:pt>
                <c:pt idx="2">
                  <c:v>1.2034592858146038E-3</c:v>
                </c:pt>
                <c:pt idx="3">
                  <c:v>2.7281842633087087E-2</c:v>
                </c:pt>
                <c:pt idx="4">
                  <c:v>1.63094888606111E-2</c:v>
                </c:pt>
                <c:pt idx="5">
                  <c:v>6.6757357869519132E-5</c:v>
                </c:pt>
                <c:pt idx="6">
                  <c:v>3.3859475167398977E-3</c:v>
                </c:pt>
                <c:pt idx="7">
                  <c:v>4.5415996446287812E-3</c:v>
                </c:pt>
                <c:pt idx="8">
                  <c:v>7.5982630361443309E-4</c:v>
                </c:pt>
                <c:pt idx="9">
                  <c:v>1.0028134488425865E-2</c:v>
                </c:pt>
                <c:pt idx="10">
                  <c:v>8.2319742953945924E-4</c:v>
                </c:pt>
                <c:pt idx="11">
                  <c:v>3.7185519152409106E-4</c:v>
                </c:pt>
                <c:pt idx="12">
                  <c:v>6.1267415421696202E-4</c:v>
                </c:pt>
                <c:pt idx="13">
                  <c:v>3.7717640696709686E-4</c:v>
                </c:pt>
                <c:pt idx="14">
                  <c:v>3.2303386324162267E-3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7B-406E-A2EB-3529685D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CO2'!$P$138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CO2'!$M$139:$M$153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CO2'!$P$139:$P$153</c:f>
              <c:numCache>
                <c:formatCode>0.0%</c:formatCode>
                <c:ptCount val="15"/>
                <c:pt idx="0">
                  <c:v>0.97963340122199594</c:v>
                </c:pt>
                <c:pt idx="1">
                  <c:v>0.99086284317626327</c:v>
                </c:pt>
                <c:pt idx="2">
                  <c:v>0.96798484616051605</c:v>
                </c:pt>
                <c:pt idx="3">
                  <c:v>0.95860566448801743</c:v>
                </c:pt>
                <c:pt idx="4">
                  <c:v>0.9737068346661546</c:v>
                </c:pt>
                <c:pt idx="5">
                  <c:v>0.98816803200953796</c:v>
                </c:pt>
                <c:pt idx="6">
                  <c:v>0.98018505035191483</c:v>
                </c:pt>
                <c:pt idx="7">
                  <c:v>0.98881090428237217</c:v>
                </c:pt>
                <c:pt idx="8">
                  <c:v>0.9656647097594997</c:v>
                </c:pt>
                <c:pt idx="9">
                  <c:v>0.98411033134033432</c:v>
                </c:pt>
                <c:pt idx="10">
                  <c:v>0.96488886044236377</c:v>
                </c:pt>
                <c:pt idx="11">
                  <c:v>0.98650736046749676</c:v>
                </c:pt>
                <c:pt idx="12">
                  <c:v>0.97649365013736533</c:v>
                </c:pt>
                <c:pt idx="13">
                  <c:v>0.97182635644354709</c:v>
                </c:pt>
                <c:pt idx="14">
                  <c:v>0.99505651916669258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0-4D5F-BAEA-A08D3472ED2F}"/>
            </c:ext>
          </c:extLst>
        </c:ser>
        <c:ser>
          <c:idx val="1"/>
          <c:order val="1"/>
          <c:tx>
            <c:strRef>
              <c:f>'Results Pure CO2'!$Q$138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CO2'!$M$139:$M$153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CO2'!$Q$139:$Q$153</c:f>
              <c:numCache>
                <c:formatCode>0.0%</c:formatCode>
                <c:ptCount val="15"/>
                <c:pt idx="0">
                  <c:v>2.0366598778004074E-2</c:v>
                </c:pt>
                <c:pt idx="1">
                  <c:v>9.1371568237367112E-3</c:v>
                </c:pt>
                <c:pt idx="2">
                  <c:v>3.2015153839484022E-2</c:v>
                </c:pt>
                <c:pt idx="3">
                  <c:v>4.1394335511982572E-2</c:v>
                </c:pt>
                <c:pt idx="4">
                  <c:v>2.6293165333845358E-2</c:v>
                </c:pt>
                <c:pt idx="5">
                  <c:v>1.1831967990462173E-2</c:v>
                </c:pt>
                <c:pt idx="6">
                  <c:v>1.9814949648085164E-2</c:v>
                </c:pt>
                <c:pt idx="7">
                  <c:v>1.1189095717627915E-2</c:v>
                </c:pt>
                <c:pt idx="8">
                  <c:v>3.4335290240500319E-2</c:v>
                </c:pt>
                <c:pt idx="9">
                  <c:v>1.5889668659665707E-2</c:v>
                </c:pt>
                <c:pt idx="10">
                  <c:v>3.5111139557636221E-2</c:v>
                </c:pt>
                <c:pt idx="11">
                  <c:v>1.3492639532503308E-2</c:v>
                </c:pt>
                <c:pt idx="12">
                  <c:v>2.3506349862634768E-2</c:v>
                </c:pt>
                <c:pt idx="13">
                  <c:v>2.8173643556452944E-2</c:v>
                </c:pt>
                <c:pt idx="14">
                  <c:v>4.9434808333073824E-3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0-4D5F-BAEA-A08D3472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CO2'!$P$157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CO2'!$P$158:$P$172</c:f>
              <c:numCache>
                <c:formatCode>0.0%</c:formatCode>
                <c:ptCount val="15"/>
                <c:pt idx="0">
                  <c:v>0.98190045248868774</c:v>
                </c:pt>
                <c:pt idx="1">
                  <c:v>0.99384761003312827</c:v>
                </c:pt>
                <c:pt idx="2">
                  <c:v>0.97005652442539614</c:v>
                </c:pt>
                <c:pt idx="3">
                  <c:v>0.96053030303030296</c:v>
                </c:pt>
                <c:pt idx="4">
                  <c:v>0.97515175955814282</c:v>
                </c:pt>
                <c:pt idx="5">
                  <c:v>0.99070443390276675</c:v>
                </c:pt>
                <c:pt idx="6">
                  <c:v>0.98326792685780962</c:v>
                </c:pt>
                <c:pt idx="7">
                  <c:v>0.99135100060930748</c:v>
                </c:pt>
                <c:pt idx="8">
                  <c:v>0.96795187225194057</c:v>
                </c:pt>
                <c:pt idx="9">
                  <c:v>0.99585994183218274</c:v>
                </c:pt>
                <c:pt idx="10">
                  <c:v>0.96648251158471288</c:v>
                </c:pt>
                <c:pt idx="11">
                  <c:v>0.98875641412616966</c:v>
                </c:pt>
                <c:pt idx="12">
                  <c:v>0.97823400327123988</c:v>
                </c:pt>
                <c:pt idx="13">
                  <c:v>0.97309868055493753</c:v>
                </c:pt>
                <c:pt idx="14">
                  <c:v>0.99857608925260344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0-47FC-B16B-125085B3D476}"/>
            </c:ext>
          </c:extLst>
        </c:ser>
        <c:ser>
          <c:idx val="1"/>
          <c:order val="1"/>
          <c:tx>
            <c:strRef>
              <c:f>'Results Pure CO2'!$Q$157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CO2'!$Q$158:$Q$172</c:f>
              <c:numCache>
                <c:formatCode>0.0%</c:formatCode>
                <c:ptCount val="15"/>
                <c:pt idx="0">
                  <c:v>1.9811666870490401E-2</c:v>
                </c:pt>
                <c:pt idx="1">
                  <c:v>8.7911772720102102E-3</c:v>
                </c:pt>
                <c:pt idx="2">
                  <c:v>3.1466258753706469E-2</c:v>
                </c:pt>
                <c:pt idx="3">
                  <c:v>4.1161616161616163E-2</c:v>
                </c:pt>
                <c:pt idx="4">
                  <c:v>2.5759597226490811E-2</c:v>
                </c:pt>
                <c:pt idx="5">
                  <c:v>1.1425228733079237E-2</c:v>
                </c:pt>
                <c:pt idx="6">
                  <c:v>1.9299715422473822E-2</c:v>
                </c:pt>
                <c:pt idx="7">
                  <c:v>1.0761792471493122E-2</c:v>
                </c:pt>
                <c:pt idx="8">
                  <c:v>3.3968793155446916E-2</c:v>
                </c:pt>
                <c:pt idx="9">
                  <c:v>1.5421716675119285E-2</c:v>
                </c:pt>
                <c:pt idx="10">
                  <c:v>3.4730448131757748E-2</c:v>
                </c:pt>
                <c:pt idx="11">
                  <c:v>1.3016903108964688E-2</c:v>
                </c:pt>
                <c:pt idx="12">
                  <c:v>2.2997547644685739E-2</c:v>
                </c:pt>
                <c:pt idx="13">
                  <c:v>2.7718899839408399E-2</c:v>
                </c:pt>
                <c:pt idx="14">
                  <c:v>4.7724481094064174E-3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0-47FC-B16B-125085B3D476}"/>
            </c:ext>
          </c:extLst>
        </c:ser>
        <c:ser>
          <c:idx val="2"/>
          <c:order val="2"/>
          <c:tx>
            <c:strRef>
              <c:f>'Results Pure CO2'!$R$157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CO2'!$R$158:$R$172</c:f>
              <c:numCache>
                <c:formatCode>0.0%</c:formatCode>
                <c:ptCount val="15"/>
                <c:pt idx="0">
                  <c:v>-1.7121193591781826E-3</c:v>
                </c:pt>
                <c:pt idx="1">
                  <c:v>-2.6387873051384645E-3</c:v>
                </c:pt>
                <c:pt idx="2">
                  <c:v>-1.522783179102729E-3</c:v>
                </c:pt>
                <c:pt idx="3">
                  <c:v>-1.6919191919191918E-3</c:v>
                </c:pt>
                <c:pt idx="4">
                  <c:v>-9.1135678463377852E-4</c:v>
                </c:pt>
                <c:pt idx="5">
                  <c:v>-2.1296626358459697E-3</c:v>
                </c:pt>
                <c:pt idx="6">
                  <c:v>-2.5676422802834243E-3</c:v>
                </c:pt>
                <c:pt idx="7">
                  <c:v>-2.1127930808004878E-3</c:v>
                </c:pt>
                <c:pt idx="8">
                  <c:v>-1.9206654073874189E-3</c:v>
                </c:pt>
                <c:pt idx="9">
                  <c:v>-1.1281658507302028E-2</c:v>
                </c:pt>
                <c:pt idx="10">
                  <c:v>-1.2129597164706662E-3</c:v>
                </c:pt>
                <c:pt idx="11">
                  <c:v>-1.7733172351343197E-3</c:v>
                </c:pt>
                <c:pt idx="12">
                  <c:v>-1.2315509159256941E-3</c:v>
                </c:pt>
                <c:pt idx="13">
                  <c:v>-8.1758039434585322E-4</c:v>
                </c:pt>
                <c:pt idx="14">
                  <c:v>-3.3485373620097481E-3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0-47FC-B16B-125085B3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CO2'!$P$176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CO2'!$P$177:$P$191</c:f>
              <c:numCache>
                <c:formatCode>0.0%</c:formatCode>
                <c:ptCount val="15"/>
                <c:pt idx="0">
                  <c:v>0.10661352596836468</c:v>
                </c:pt>
                <c:pt idx="1">
                  <c:v>0.26839826839826836</c:v>
                </c:pt>
                <c:pt idx="2">
                  <c:v>0.16550254528234876</c:v>
                </c:pt>
                <c:pt idx="3">
                  <c:v>6.9493738552812614E-2</c:v>
                </c:pt>
                <c:pt idx="4">
                  <c:v>0.34614053305642095</c:v>
                </c:pt>
                <c:pt idx="5">
                  <c:v>0.43823230925362117</c:v>
                </c:pt>
                <c:pt idx="6">
                  <c:v>0.31425713201559213</c:v>
                </c:pt>
                <c:pt idx="7">
                  <c:v>0.53719667943805882</c:v>
                </c:pt>
                <c:pt idx="8">
                  <c:v>0.15578878320760906</c:v>
                </c:pt>
                <c:pt idx="9">
                  <c:v>0.39182265088290014</c:v>
                </c:pt>
                <c:pt idx="10">
                  <c:v>0.13089518580252968</c:v>
                </c:pt>
                <c:pt idx="11">
                  <c:v>0.12401740059528354</c:v>
                </c:pt>
                <c:pt idx="12">
                  <c:v>0.22850112053434107</c:v>
                </c:pt>
                <c:pt idx="13">
                  <c:v>0.22082554781722441</c:v>
                </c:pt>
                <c:pt idx="14">
                  <c:v>8.1874094096446887E-2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1-423B-B071-0CC248D4442E}"/>
            </c:ext>
          </c:extLst>
        </c:ser>
        <c:ser>
          <c:idx val="1"/>
          <c:order val="1"/>
          <c:tx>
            <c:strRef>
              <c:f>'Results Pure CO2'!$Q$176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CO2'!$Q$177:$Q$191</c:f>
              <c:numCache>
                <c:formatCode>0.0%</c:formatCode>
                <c:ptCount val="15"/>
                <c:pt idx="0">
                  <c:v>0.33877195167517754</c:v>
                </c:pt>
                <c:pt idx="1">
                  <c:v>0.34920634920634919</c:v>
                </c:pt>
                <c:pt idx="2">
                  <c:v>0.34331715401917839</c:v>
                </c:pt>
                <c:pt idx="3">
                  <c:v>0.34089614498164073</c:v>
                </c:pt>
                <c:pt idx="4">
                  <c:v>0.28237780328286971</c:v>
                </c:pt>
                <c:pt idx="5">
                  <c:v>0.27677830058123443</c:v>
                </c:pt>
                <c:pt idx="6">
                  <c:v>0.36565593845941563</c:v>
                </c:pt>
                <c:pt idx="7">
                  <c:v>0.26819923371647508</c:v>
                </c:pt>
                <c:pt idx="8">
                  <c:v>0.33289603148573305</c:v>
                </c:pt>
                <c:pt idx="9">
                  <c:v>0.3481713210763171</c:v>
                </c:pt>
                <c:pt idx="10">
                  <c:v>0.35444651436415336</c:v>
                </c:pt>
                <c:pt idx="11">
                  <c:v>0.61627108295810129</c:v>
                </c:pt>
                <c:pt idx="12">
                  <c:v>0.4130597178890012</c:v>
                </c:pt>
                <c:pt idx="13">
                  <c:v>0.36325149285910285</c:v>
                </c:pt>
                <c:pt idx="14">
                  <c:v>0.78740157480314943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1-423B-B071-0CC248D4442E}"/>
            </c:ext>
          </c:extLst>
        </c:ser>
        <c:ser>
          <c:idx val="2"/>
          <c:order val="2"/>
          <c:tx>
            <c:strRef>
              <c:f>'Results Pure CO2'!$R$176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CO2'!$R$177:$R$191</c:f>
              <c:numCache>
                <c:formatCode>0.0%</c:formatCode>
                <c:ptCount val="15"/>
                <c:pt idx="0">
                  <c:v>0.3063893386474032</c:v>
                </c:pt>
                <c:pt idx="1">
                  <c:v>0.17316017316017313</c:v>
                </c:pt>
                <c:pt idx="2">
                  <c:v>0.11743814371966378</c:v>
                </c:pt>
                <c:pt idx="3">
                  <c:v>0.12005853949224879</c:v>
                </c:pt>
                <c:pt idx="4">
                  <c:v>7.815488877958135E-2</c:v>
                </c:pt>
                <c:pt idx="5">
                  <c:v>0.14484731063751269</c:v>
                </c:pt>
                <c:pt idx="6">
                  <c:v>9.5898444237469377E-2</c:v>
                </c:pt>
                <c:pt idx="7">
                  <c:v>6.7688378033205626E-2</c:v>
                </c:pt>
                <c:pt idx="8">
                  <c:v>0.10905214824532634</c:v>
                </c:pt>
                <c:pt idx="9">
                  <c:v>8.6263342236818863E-2</c:v>
                </c:pt>
                <c:pt idx="10">
                  <c:v>0.10589273458182176</c:v>
                </c:pt>
                <c:pt idx="11">
                  <c:v>0.10779974051743878</c:v>
                </c:pt>
                <c:pt idx="12">
                  <c:v>9.205958606143165E-2</c:v>
                </c:pt>
                <c:pt idx="13">
                  <c:v>9.7215507441428983E-2</c:v>
                </c:pt>
                <c:pt idx="14">
                  <c:v>6.5812668938770719E-2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1-423B-B071-0CC248D4442E}"/>
            </c:ext>
          </c:extLst>
        </c:ser>
        <c:ser>
          <c:idx val="3"/>
          <c:order val="3"/>
          <c:tx>
            <c:strRef>
              <c:f>'Results Pure CO2'!$S$176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CO2'!$S$177:$S$191</c:f>
              <c:numCache>
                <c:formatCode>0.0%</c:formatCode>
                <c:ptCount val="15"/>
                <c:pt idx="0">
                  <c:v>2.9019803213351604E-2</c:v>
                </c:pt>
                <c:pt idx="1">
                  <c:v>0.11341991341991342</c:v>
                </c:pt>
                <c:pt idx="2">
                  <c:v>2.332188942819936E-2</c:v>
                </c:pt>
                <c:pt idx="3">
                  <c:v>5.0915336821165356E-3</c:v>
                </c:pt>
                <c:pt idx="4">
                  <c:v>7.3053870397697266E-3</c:v>
                </c:pt>
                <c:pt idx="5">
                  <c:v>1.4669249930805425E-2</c:v>
                </c:pt>
                <c:pt idx="6">
                  <c:v>1.1694090862051122E-2</c:v>
                </c:pt>
                <c:pt idx="7">
                  <c:v>9.578544061302683E-3</c:v>
                </c:pt>
                <c:pt idx="8">
                  <c:v>2.3450311577566416E-2</c:v>
                </c:pt>
                <c:pt idx="9">
                  <c:v>6.4125882120623177E-3</c:v>
                </c:pt>
                <c:pt idx="10">
                  <c:v>2.000196097656633E-2</c:v>
                </c:pt>
                <c:pt idx="11">
                  <c:v>8.8147752423109235E-3</c:v>
                </c:pt>
                <c:pt idx="12">
                  <c:v>1.1512941073076415E-2</c:v>
                </c:pt>
                <c:pt idx="13">
                  <c:v>1.0335680965883108E-2</c:v>
                </c:pt>
                <c:pt idx="14">
                  <c:v>1.3201707995455791E-2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1-423B-B071-0CC248D4442E}"/>
            </c:ext>
          </c:extLst>
        </c:ser>
        <c:ser>
          <c:idx val="4"/>
          <c:order val="4"/>
          <c:tx>
            <c:strRef>
              <c:f>'Results Pure CO2'!$T$176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CO2'!$T$177:$T$191</c:f>
              <c:numCache>
                <c:formatCode>0.0%</c:formatCode>
                <c:ptCount val="15"/>
                <c:pt idx="0">
                  <c:v>0.21920538049570307</c:v>
                </c:pt>
                <c:pt idx="1">
                  <c:v>9.5815295815295812E-2</c:v>
                </c:pt>
                <c:pt idx="2">
                  <c:v>0.35042026755060968</c:v>
                </c:pt>
                <c:pt idx="3">
                  <c:v>0.46446004329118146</c:v>
                </c:pt>
                <c:pt idx="4">
                  <c:v>0.28602138784135833</c:v>
                </c:pt>
                <c:pt idx="5">
                  <c:v>0.12547282959682629</c:v>
                </c:pt>
                <c:pt idx="6">
                  <c:v>0.21249439442547172</c:v>
                </c:pt>
                <c:pt idx="7">
                  <c:v>0.11733716475095786</c:v>
                </c:pt>
                <c:pt idx="8">
                  <c:v>0.37881272548376516</c:v>
                </c:pt>
                <c:pt idx="9">
                  <c:v>0.16733009759190165</c:v>
                </c:pt>
                <c:pt idx="10">
                  <c:v>0.3887636042749289</c:v>
                </c:pt>
                <c:pt idx="11">
                  <c:v>0.14309700068686565</c:v>
                </c:pt>
                <c:pt idx="12">
                  <c:v>0.25486663444214963</c:v>
                </c:pt>
                <c:pt idx="13">
                  <c:v>0.3083717709163607</c:v>
                </c:pt>
                <c:pt idx="14">
                  <c:v>5.1709954166176984E-2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1-423B-B071-0CC248D4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CO2'!$AE$4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CO2'!$AE$7,'Results Pure CO2'!$AE$10,'Results Pure CO2'!$AE$13,'Results Pure CO2'!$AE$16)</c:f>
              <c:numCache>
                <c:formatCode>0.0%</c:formatCode>
                <c:ptCount val="4"/>
                <c:pt idx="0">
                  <c:v>2.7783928911460656E-2</c:v>
                </c:pt>
                <c:pt idx="1">
                  <c:v>4.1905920325245039E-2</c:v>
                </c:pt>
                <c:pt idx="2">
                  <c:v>0.18432193166998376</c:v>
                </c:pt>
                <c:pt idx="3">
                  <c:v>1.1836701241921068E-2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3-4C7F-97B1-77AC4B9DCCE2}"/>
            </c:ext>
          </c:extLst>
        </c:ser>
        <c:ser>
          <c:idx val="1"/>
          <c:order val="1"/>
          <c:tx>
            <c:strRef>
              <c:f>'Results Pure CO2'!$AF$4</c:f>
              <c:strCache>
                <c:ptCount val="1"/>
                <c:pt idx="0">
                  <c:v>Acetone extraction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CO2'!$AF$7,'Results Pure CO2'!$AF$10,'Results Pure CO2'!$AF$13,'Results Pure CO2'!$AF$16)</c:f>
              <c:numCache>
                <c:formatCode>0.0%</c:formatCode>
                <c:ptCount val="4"/>
                <c:pt idx="0">
                  <c:v>0.93511764773319039</c:v>
                </c:pt>
                <c:pt idx="1">
                  <c:v>0.91175994554862239</c:v>
                </c:pt>
                <c:pt idx="2">
                  <c:v>0.57011703550752624</c:v>
                </c:pt>
                <c:pt idx="3">
                  <c:v>0.9688192282365633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83-4C7F-97B1-77AC4B9DCCE2}"/>
            </c:ext>
          </c:extLst>
        </c:ser>
        <c:ser>
          <c:idx val="2"/>
          <c:order val="2"/>
          <c:tx>
            <c:strRef>
              <c:f>'Results Pure CO2'!$AG$4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CO2'!$AG$7,'Results Pure CO2'!$AG$10,'Results Pure CO2'!$AG$13,'Results Pure CO2'!$AG$16)</c:f>
              <c:numCache>
                <c:formatCode>0.0%</c:formatCode>
                <c:ptCount val="4"/>
                <c:pt idx="0">
                  <c:v>8.7204851874297007E-4</c:v>
                </c:pt>
                <c:pt idx="1">
                  <c:v>1.3846010031881614E-3</c:v>
                </c:pt>
                <c:pt idx="2">
                  <c:v>3.1913891997524483E-3</c:v>
                </c:pt>
                <c:pt idx="3">
                  <c:v>5.4581784716223856E-4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3-4C7F-97B1-77AC4B9DCCE2}"/>
            </c:ext>
          </c:extLst>
        </c:ser>
        <c:ser>
          <c:idx val="3"/>
          <c:order val="3"/>
          <c:tx>
            <c:strRef>
              <c:f>'Results Pure CO2'!$AH$4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CO2'!$AH$7,'Results Pure CO2'!$AH$10,'Results Pure CO2'!$AH$13,'Results Pure CO2'!$AH$16)</c:f>
              <c:numCache>
                <c:formatCode>0.0%</c:formatCode>
                <c:ptCount val="4"/>
                <c:pt idx="0">
                  <c:v>7.8850315618840419E-4</c:v>
                </c:pt>
                <c:pt idx="1">
                  <c:v>1.2487049788011721E-3</c:v>
                </c:pt>
                <c:pt idx="2">
                  <c:v>2.3403520798184487E-3</c:v>
                </c:pt>
                <c:pt idx="3">
                  <c:v>5.0405920662825471E-4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83-4C7F-97B1-77AC4B9DCCE2}"/>
            </c:ext>
          </c:extLst>
        </c:ser>
        <c:ser>
          <c:idx val="4"/>
          <c:order val="4"/>
          <c:tx>
            <c:strRef>
              <c:f>'Results Pure CO2'!$AI$4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CO2'!$AI$7,'Results Pure CO2'!$AI$10,'Results Pure CO2'!$AI$13,'Results Pure CO2'!$AI$16)</c:f>
              <c:numCache>
                <c:formatCode>0.0%</c:formatCode>
                <c:ptCount val="4"/>
                <c:pt idx="0">
                  <c:v>3.54378716804176E-2</c:v>
                </c:pt>
                <c:pt idx="1">
                  <c:v>4.3700828144143208E-2</c:v>
                </c:pt>
                <c:pt idx="2">
                  <c:v>0.24002929154291913</c:v>
                </c:pt>
                <c:pt idx="3">
                  <c:v>1.8294193467725123E-2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3-4C7F-97B1-77AC4B9D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CO2'!$AE$4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CO2'!$AE$7,'Results Pure CO2'!$AE$10,'Results Pure CO2'!$AE$13,'Results Pure CO2'!$AE$16)</c:f>
              <c:numCache>
                <c:formatCode>0.0%</c:formatCode>
                <c:ptCount val="4"/>
                <c:pt idx="0">
                  <c:v>2.7783928911460656E-2</c:v>
                </c:pt>
                <c:pt idx="1">
                  <c:v>4.1905920325245039E-2</c:v>
                </c:pt>
                <c:pt idx="2">
                  <c:v>0.18432193166998376</c:v>
                </c:pt>
                <c:pt idx="3">
                  <c:v>1.1836701241921068E-2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A-484B-8D0E-AD7ED9ACDF28}"/>
            </c:ext>
          </c:extLst>
        </c:ser>
        <c:ser>
          <c:idx val="1"/>
          <c:order val="1"/>
          <c:tx>
            <c:strRef>
              <c:f>'Results Pure CO2'!$AF$4</c:f>
              <c:strCache>
                <c:ptCount val="1"/>
                <c:pt idx="0">
                  <c:v>Acetone extraction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CO2'!$AF$7,'Results Pure CO2'!$AF$10,'Results Pure CO2'!$AF$13,'Results Pure CO2'!$AF$16)</c:f>
              <c:numCache>
                <c:formatCode>0.0%</c:formatCode>
                <c:ptCount val="4"/>
                <c:pt idx="0">
                  <c:v>0.93511764773319039</c:v>
                </c:pt>
                <c:pt idx="1">
                  <c:v>0.91175994554862239</c:v>
                </c:pt>
                <c:pt idx="2">
                  <c:v>0.57011703550752624</c:v>
                </c:pt>
                <c:pt idx="3">
                  <c:v>0.9688192282365633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A-484B-8D0E-AD7ED9ACDF28}"/>
            </c:ext>
          </c:extLst>
        </c:ser>
        <c:ser>
          <c:idx val="2"/>
          <c:order val="2"/>
          <c:tx>
            <c:strRef>
              <c:f>'Results Pure CO2'!$AG$4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CO2'!$AG$7,'Results Pure CO2'!$AG$10,'Results Pure CO2'!$AG$13,'Results Pure CO2'!$AG$16)</c:f>
              <c:numCache>
                <c:formatCode>0.0%</c:formatCode>
                <c:ptCount val="4"/>
                <c:pt idx="0">
                  <c:v>8.7204851874297007E-4</c:v>
                </c:pt>
                <c:pt idx="1">
                  <c:v>1.3846010031881614E-3</c:v>
                </c:pt>
                <c:pt idx="2">
                  <c:v>3.1913891997524483E-3</c:v>
                </c:pt>
                <c:pt idx="3">
                  <c:v>5.4581784716223856E-4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A-484B-8D0E-AD7ED9ACDF28}"/>
            </c:ext>
          </c:extLst>
        </c:ser>
        <c:ser>
          <c:idx val="3"/>
          <c:order val="3"/>
          <c:tx>
            <c:strRef>
              <c:f>'Results Pure CO2'!$AH$4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CO2'!$AH$7,'Results Pure CO2'!$AH$10,'Results Pure CO2'!$AH$13,'Results Pure CO2'!$AH$16)</c:f>
              <c:numCache>
                <c:formatCode>0.0%</c:formatCode>
                <c:ptCount val="4"/>
                <c:pt idx="0">
                  <c:v>7.8850315618840419E-4</c:v>
                </c:pt>
                <c:pt idx="1">
                  <c:v>1.2487049788011721E-3</c:v>
                </c:pt>
                <c:pt idx="2">
                  <c:v>2.3403520798184487E-3</c:v>
                </c:pt>
                <c:pt idx="3">
                  <c:v>5.0405920662825471E-4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0A-484B-8D0E-AD7ED9ACDF28}"/>
            </c:ext>
          </c:extLst>
        </c:ser>
        <c:ser>
          <c:idx val="4"/>
          <c:order val="4"/>
          <c:tx>
            <c:strRef>
              <c:f>'Results Pure CO2'!$AI$4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Pure CO2'!$AI$7,'Results Pure CO2'!$AI$10,'Results Pure CO2'!$AI$13,'Results Pure CO2'!$AI$16)</c:f>
              <c:numCache>
                <c:formatCode>0.0%</c:formatCode>
                <c:ptCount val="4"/>
                <c:pt idx="0">
                  <c:v>3.54378716804176E-2</c:v>
                </c:pt>
                <c:pt idx="1">
                  <c:v>4.3700828144143208E-2</c:v>
                </c:pt>
                <c:pt idx="2">
                  <c:v>0.24002929154291913</c:v>
                </c:pt>
                <c:pt idx="3">
                  <c:v>1.8294193467725123E-2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0A-484B-8D0E-AD7ED9ACD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1-4FB9-933B-A7E06A8990A8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01-4FB9-933B-A7E06A8990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'Escenario 3'!$W$133:$W$134</c:f>
              <c:numCache>
                <c:formatCode>0%</c:formatCode>
                <c:ptCount val="2"/>
                <c:pt idx="0">
                  <c:v>0.75788981662519361</c:v>
                </c:pt>
                <c:pt idx="1">
                  <c:v>0.24211018337480641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A01-4FB9-933B-A7E06A8990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CO2'!$P$4</c:f>
              <c:strCache>
                <c:ptCount val="1"/>
                <c:pt idx="0">
                  <c:v>Biostimulant separation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CO2'!$P$5:$P$8</c:f>
              <c:numCache>
                <c:formatCode>0.0%</c:formatCode>
                <c:ptCount val="4"/>
                <c:pt idx="0">
                  <c:v>0.95809407967475491</c:v>
                </c:pt>
                <c:pt idx="1">
                  <c:v>0.81567806833001621</c:v>
                </c:pt>
                <c:pt idx="2">
                  <c:v>0.97221607108853936</c:v>
                </c:pt>
                <c:pt idx="3">
                  <c:v>0.98816329875807896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A-466C-864D-F9709715A2DD}"/>
            </c:ext>
          </c:extLst>
        </c:ser>
        <c:ser>
          <c:idx val="1"/>
          <c:order val="1"/>
          <c:tx>
            <c:strRef>
              <c:f>'Results Pure CO2'!$Q$4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CO2'!$Q$5:$Q$8</c:f>
              <c:numCache>
                <c:formatCode>0.0%</c:formatCode>
                <c:ptCount val="4"/>
                <c:pt idx="0">
                  <c:v>1.5285032833174939E-3</c:v>
                </c:pt>
                <c:pt idx="1">
                  <c:v>1.1767922063574061E-3</c:v>
                </c:pt>
                <c:pt idx="2">
                  <c:v>8.5073269352995261E-3</c:v>
                </c:pt>
                <c:pt idx="3">
                  <c:v>4.4042470728990974E-3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1A-466C-864D-F9709715A2DD}"/>
            </c:ext>
          </c:extLst>
        </c:ser>
        <c:ser>
          <c:idx val="2"/>
          <c:order val="2"/>
          <c:tx>
            <c:strRef>
              <c:f>'Results Pure CO2'!$R$4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CO2'!$R$5:$R$8</c:f>
              <c:numCache>
                <c:formatCode>0.0%</c:formatCode>
                <c:ptCount val="4"/>
                <c:pt idx="0">
                  <c:v>6.3653303847049282E-5</c:v>
                </c:pt>
                <c:pt idx="1">
                  <c:v>1.9065348594617193E-5</c:v>
                </c:pt>
                <c:pt idx="2">
                  <c:v>5.9801504045193729E-4</c:v>
                </c:pt>
                <c:pt idx="3">
                  <c:v>2.1331874953085196E-4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1A-466C-864D-F9709715A2DD}"/>
            </c:ext>
          </c:extLst>
        </c:ser>
        <c:ser>
          <c:idx val="3"/>
          <c:order val="3"/>
          <c:tx>
            <c:strRef>
              <c:f>'Results Pure CO2'!$S$4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CO2'!$S$5:$S$8</c:f>
              <c:numCache>
                <c:formatCode>0.0%</c:formatCode>
                <c:ptCount val="4"/>
                <c:pt idx="0">
                  <c:v>3.6873596726931461E-2</c:v>
                </c:pt>
                <c:pt idx="1">
                  <c:v>0.17520397932639595</c:v>
                </c:pt>
                <c:pt idx="2">
                  <c:v>1.6514222874404964E-2</c:v>
                </c:pt>
                <c:pt idx="3">
                  <c:v>5.8595634969874954E-3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1A-466C-864D-F9709715A2DD}"/>
            </c:ext>
          </c:extLst>
        </c:ser>
        <c:ser>
          <c:idx val="4"/>
          <c:order val="4"/>
          <c:tx>
            <c:strRef>
              <c:f>'Results Pure CO2'!$T$4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CO2'!$T$5:$T$8</c:f>
              <c:numCache>
                <c:formatCode>0.0%</c:formatCode>
                <c:ptCount val="4"/>
                <c:pt idx="0">
                  <c:v>4.6349493092511609E-9</c:v>
                </c:pt>
                <c:pt idx="1">
                  <c:v>1.1373466575409567E-7</c:v>
                </c:pt>
                <c:pt idx="2">
                  <c:v>2.764881253972346E-12</c:v>
                </c:pt>
                <c:pt idx="3">
                  <c:v>7.6595601267810397E-6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1A-466C-864D-F9709715A2DD}"/>
            </c:ext>
          </c:extLst>
        </c:ser>
        <c:ser>
          <c:idx val="5"/>
          <c:order val="5"/>
          <c:tx>
            <c:strRef>
              <c:f>'Results Pure CO2'!$U$4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CO2'!$U$5:$U$8</c:f>
              <c:numCache>
                <c:formatCode>0.0%</c:formatCode>
                <c:ptCount val="4"/>
                <c:pt idx="0">
                  <c:v>3.4401623761997511E-3</c:v>
                </c:pt>
                <c:pt idx="1">
                  <c:v>7.9219810539702482E-3</c:v>
                </c:pt>
                <c:pt idx="2">
                  <c:v>2.1643640585394383E-3</c:v>
                </c:pt>
                <c:pt idx="3">
                  <c:v>1.3519123623768534E-3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1A-466C-864D-F9709715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CO2'!$N$12</c:f>
              <c:strCache>
                <c:ptCount val="1"/>
                <c:pt idx="0">
                  <c:v>Biopesticide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CO2'!$N$13:$N$16</c:f>
              <c:numCache>
                <c:formatCode>0.0%</c:formatCode>
                <c:ptCount val="4"/>
                <c:pt idx="0">
                  <c:v>0.17097181185143154</c:v>
                </c:pt>
                <c:pt idx="1">
                  <c:v>1.8477349307131935E-3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A-4B85-83D6-03FEE06B7F00}"/>
            </c:ext>
          </c:extLst>
        </c:ser>
        <c:ser>
          <c:idx val="1"/>
          <c:order val="1"/>
          <c:tx>
            <c:strRef>
              <c:f>'Results Pure CO2'!$O$12</c:f>
              <c:strCache>
                <c:ptCount val="1"/>
                <c:pt idx="0">
                  <c:v>Biopesticide separation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CO2'!$O$13:$O$16</c:f>
              <c:numCache>
                <c:formatCode>0.0%</c:formatCode>
                <c:ptCount val="4"/>
                <c:pt idx="0">
                  <c:v>0.82187793362257267</c:v>
                </c:pt>
                <c:pt idx="1">
                  <c:v>0.98949914021770746</c:v>
                </c:pt>
                <c:pt idx="2">
                  <c:v>0.96591344856481409</c:v>
                </c:pt>
                <c:pt idx="3">
                  <c:v>0.98216092708480951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A-4B85-83D6-03FEE06B7F00}"/>
            </c:ext>
          </c:extLst>
        </c:ser>
        <c:ser>
          <c:idx val="2"/>
          <c:order val="2"/>
          <c:tx>
            <c:strRef>
              <c:f>'Results Pure CO2'!$P$12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CO2'!$P$13:$P$16</c:f>
              <c:numCache>
                <c:formatCode>0.0%</c:formatCode>
                <c:ptCount val="4"/>
                <c:pt idx="0">
                  <c:v>7.1502545259957877E-3</c:v>
                </c:pt>
                <c:pt idx="1">
                  <c:v>8.653124851579392E-3</c:v>
                </c:pt>
                <c:pt idx="2">
                  <c:v>3.4086551435185845E-2</c:v>
                </c:pt>
                <c:pt idx="3">
                  <c:v>1.7839072915190435E-2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A-4B85-83D6-03FEE06B7F00}"/>
            </c:ext>
          </c:extLst>
        </c:ser>
        <c:ser>
          <c:idx val="3"/>
          <c:order val="3"/>
          <c:tx>
            <c:strRef>
              <c:f>'Results Pure CO2'!$Q$12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CO2'!$Q$13:$Q$16</c:f>
              <c:numCache>
                <c:formatCode>0.0%</c:formatCode>
                <c:ptCount val="4"/>
                <c:pt idx="0">
                  <c:v>3.6039589344736836E-5</c:v>
                </c:pt>
                <c:pt idx="1">
                  <c:v>1.1776057128841127E-4</c:v>
                </c:pt>
                <c:pt idx="2">
                  <c:v>2.6376498134369995E-5</c:v>
                </c:pt>
                <c:pt idx="3">
                  <c:v>1.6409460800035802E-5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7A-4B85-83D6-03FEE06B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CO2'!$O$52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CO2'!$O$53:$O$56</c:f>
              <c:numCache>
                <c:formatCode>0.0%</c:formatCode>
                <c:ptCount val="4"/>
                <c:pt idx="0">
                  <c:v>0.16663244051984627</c:v>
                </c:pt>
                <c:pt idx="1">
                  <c:v>0.50115060086934282</c:v>
                </c:pt>
                <c:pt idx="2">
                  <c:v>0.22850112053434107</c:v>
                </c:pt>
                <c:pt idx="3">
                  <c:v>0.22018396435364929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E-44B7-90CC-54BF45FE7253}"/>
            </c:ext>
          </c:extLst>
        </c:ser>
        <c:ser>
          <c:idx val="1"/>
          <c:order val="1"/>
          <c:tx>
            <c:strRef>
              <c:f>'Results Pure CO2'!$P$52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CO2'!$P$53:$P$56</c:f>
              <c:numCache>
                <c:formatCode>0.0%</c:formatCode>
                <c:ptCount val="4"/>
                <c:pt idx="0">
                  <c:v>0.34323935811306361</c:v>
                </c:pt>
                <c:pt idx="1">
                  <c:v>0.2795533964033069</c:v>
                </c:pt>
                <c:pt idx="2">
                  <c:v>0.4130597178890012</c:v>
                </c:pt>
                <c:pt idx="3">
                  <c:v>0.3648018344320817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E-44B7-90CC-54BF45FE7253}"/>
            </c:ext>
          </c:extLst>
        </c:ser>
        <c:ser>
          <c:idx val="2"/>
          <c:order val="2"/>
          <c:tx>
            <c:strRef>
              <c:f>'Results Pure CO2'!$Q$52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CO2'!$Q$53:$Q$56</c:f>
              <c:numCache>
                <c:formatCode>0.0%</c:formatCode>
                <c:ptCount val="4"/>
                <c:pt idx="0">
                  <c:v>0.13289523865403233</c:v>
                </c:pt>
                <c:pt idx="1">
                  <c:v>7.2019091451461681E-2</c:v>
                </c:pt>
                <c:pt idx="2">
                  <c:v>9.205958606143165E-2</c:v>
                </c:pt>
                <c:pt idx="3">
                  <c:v>9.7193631602261757E-2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E-44B7-90CC-54BF45FE7253}"/>
            </c:ext>
          </c:extLst>
        </c:ser>
        <c:ser>
          <c:idx val="3"/>
          <c:order val="3"/>
          <c:tx>
            <c:strRef>
              <c:f>'Results Pure CO2'!$R$52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CO2'!$R$53:$R$56</c:f>
              <c:numCache>
                <c:formatCode>0.0%</c:formatCode>
                <c:ptCount val="4"/>
                <c:pt idx="0">
                  <c:v>2.8661953237304541E-2</c:v>
                </c:pt>
                <c:pt idx="1">
                  <c:v>1.0057103894997015E-2</c:v>
                </c:pt>
                <c:pt idx="2">
                  <c:v>1.1512941073076415E-2</c:v>
                </c:pt>
                <c:pt idx="3">
                  <c:v>1.0344737733538317E-2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5E-44B7-90CC-54BF45FE7253}"/>
            </c:ext>
          </c:extLst>
        </c:ser>
        <c:ser>
          <c:idx val="4"/>
          <c:order val="4"/>
          <c:tx>
            <c:strRef>
              <c:f>'Results Pure CO2'!$S$52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CO2'!$S$53:$S$56</c:f>
              <c:numCache>
                <c:formatCode>0.0%</c:formatCode>
                <c:ptCount val="4"/>
                <c:pt idx="0">
                  <c:v>0.32857100947575318</c:v>
                </c:pt>
                <c:pt idx="1">
                  <c:v>0.13721980738089151</c:v>
                </c:pt>
                <c:pt idx="2">
                  <c:v>0.25486663444214963</c:v>
                </c:pt>
                <c:pt idx="3">
                  <c:v>0.30747583187846883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5E-44B7-90CC-54BF45FE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CO2'!$O$44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CO2'!$O$45:$O$48</c:f>
              <c:numCache>
                <c:formatCode>0.0%</c:formatCode>
                <c:ptCount val="4"/>
                <c:pt idx="0">
                  <c:v>0.97066947632200928</c:v>
                </c:pt>
                <c:pt idx="1">
                  <c:v>0.98746002356505647</c:v>
                </c:pt>
                <c:pt idx="2">
                  <c:v>0.97703074016829816</c:v>
                </c:pt>
                <c:pt idx="3">
                  <c:v>0.97238199001697623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0-4469-A9C8-38C2A7DD690A}"/>
            </c:ext>
          </c:extLst>
        </c:ser>
        <c:ser>
          <c:idx val="1"/>
          <c:order val="1"/>
          <c:tx>
            <c:strRef>
              <c:f>'Results Pure CO2'!$P$44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CO2'!$P$45:$P$48</c:f>
              <c:numCache>
                <c:formatCode>0.0%</c:formatCode>
                <c:ptCount val="4"/>
                <c:pt idx="0">
                  <c:v>2.9330523677990716E-2</c:v>
                </c:pt>
                <c:pt idx="1">
                  <c:v>1.2539976434943612E-2</c:v>
                </c:pt>
                <c:pt idx="2">
                  <c:v>2.2969259831701873E-2</c:v>
                </c:pt>
                <c:pt idx="3">
                  <c:v>2.7618009983023793E-2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0-4469-A9C8-38C2A7DD690A}"/>
            </c:ext>
          </c:extLst>
        </c:ser>
        <c:ser>
          <c:idx val="2"/>
          <c:order val="2"/>
          <c:tx>
            <c:strRef>
              <c:f>'Results Pure CO2'!$Q$44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CO2'!$Q$45:$Q$48</c:f>
              <c:numCache>
                <c:formatCode>0.0%</c:formatCode>
                <c:ptCount val="4"/>
                <c:pt idx="0">
                  <c:v>-1.5946692485121164E-3</c:v>
                </c:pt>
                <c:pt idx="1">
                  <c:v>-2.9119676822083823E-3</c:v>
                </c:pt>
                <c:pt idx="2">
                  <c:v>-1.2300360638845954E-3</c:v>
                </c:pt>
                <c:pt idx="3">
                  <c:v>-8.2600653710695007E-4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0-4469-A9C8-38C2A7DD6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'Results Pure CO2'!$O$36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CO2'!$O$37:$O$40</c:f>
              <c:numCache>
                <c:formatCode>0.0%</c:formatCode>
                <c:ptCount val="4"/>
                <c:pt idx="0">
                  <c:v>0.97011704158711709</c:v>
                </c:pt>
                <c:pt idx="1">
                  <c:v>0.98700368229001778</c:v>
                </c:pt>
                <c:pt idx="2">
                  <c:v>0.97649365013736533</c:v>
                </c:pt>
                <c:pt idx="3">
                  <c:v>0.97178371291837728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1-4A42-A667-C49192AC9150}"/>
            </c:ext>
          </c:extLst>
        </c:ser>
        <c:ser>
          <c:idx val="2"/>
          <c:order val="1"/>
          <c:tx>
            <c:strRef>
              <c:f>'Results Pure CO2'!$P$36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CO2'!$P$37:$P$40</c:f>
              <c:numCache>
                <c:formatCode>0.0%</c:formatCode>
                <c:ptCount val="4"/>
                <c:pt idx="0">
                  <c:v>2.9882958412882871E-2</c:v>
                </c:pt>
                <c:pt idx="1">
                  <c:v>1.2996317709982171E-2</c:v>
                </c:pt>
                <c:pt idx="2">
                  <c:v>2.3506349862634768E-2</c:v>
                </c:pt>
                <c:pt idx="3">
                  <c:v>2.8216287081622694E-2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1-4A42-A667-C49192AC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CO2'!$O$28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CO2'!$O$29:$O$32</c:f>
              <c:numCache>
                <c:formatCode>0.0%</c:formatCode>
                <c:ptCount val="4"/>
                <c:pt idx="0">
                  <c:v>4.8131140988933618E-2</c:v>
                </c:pt>
                <c:pt idx="1">
                  <c:v>0.30075868320942023</c:v>
                </c:pt>
                <c:pt idx="2">
                  <c:v>3.7862388617028953E-2</c:v>
                </c:pt>
                <c:pt idx="3">
                  <c:v>1.9496479399284311E-2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AD-BC94-0D60348B28F6}"/>
            </c:ext>
          </c:extLst>
        </c:ser>
        <c:ser>
          <c:idx val="1"/>
          <c:order val="1"/>
          <c:tx>
            <c:strRef>
              <c:f>'Results Pure CO2'!$P$28</c:f>
              <c:strCache>
                <c:ptCount val="1"/>
                <c:pt idx="0">
                  <c:v>Acetone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CO2'!$P$29:$P$32</c:f>
              <c:numCache>
                <c:formatCode>0.0%</c:formatCode>
                <c:ptCount val="4"/>
                <c:pt idx="0">
                  <c:v>0.95087669588828749</c:v>
                </c:pt>
                <c:pt idx="1">
                  <c:v>0.69656025736223748</c:v>
                </c:pt>
                <c:pt idx="2">
                  <c:v>0.96152493722765753</c:v>
                </c:pt>
                <c:pt idx="3">
                  <c:v>0.98012336245829157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2-40AD-BC94-0D60348B28F6}"/>
            </c:ext>
          </c:extLst>
        </c:ser>
        <c:ser>
          <c:idx val="2"/>
          <c:order val="2"/>
          <c:tx>
            <c:strRef>
              <c:f>'Results Pure CO2'!$Q$28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CO2'!$Q$29:$Q$32</c:f>
              <c:numCache>
                <c:formatCode>0.0%</c:formatCode>
                <c:ptCount val="4"/>
                <c:pt idx="0">
                  <c:v>1.8644641095848777E-9</c:v>
                </c:pt>
                <c:pt idx="1">
                  <c:v>5.4121228629583918E-8</c:v>
                </c:pt>
                <c:pt idx="2">
                  <c:v>1.0966152176646012E-12</c:v>
                </c:pt>
                <c:pt idx="3">
                  <c:v>3.0028289291001579E-6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2-40AD-BC94-0D60348B28F6}"/>
            </c:ext>
          </c:extLst>
        </c:ser>
        <c:ser>
          <c:idx val="3"/>
          <c:order val="3"/>
          <c:tx>
            <c:strRef>
              <c:f>'Results Pure CO2'!$R$28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CO2'!$R$29:$R$32</c:f>
              <c:numCache>
                <c:formatCode>0.0%</c:formatCode>
                <c:ptCount val="4"/>
                <c:pt idx="0">
                  <c:v>9.9216125831480973E-4</c:v>
                </c:pt>
                <c:pt idx="1">
                  <c:v>2.6810053071136476E-3</c:v>
                </c:pt>
                <c:pt idx="2">
                  <c:v>6.1267415421696202E-4</c:v>
                </c:pt>
                <c:pt idx="3">
                  <c:v>3.7715531349497982E-4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2-40AD-BC94-0D60348B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Pure CO2'!$P$62</c:f>
              <c:strCache>
                <c:ptCount val="1"/>
                <c:pt idx="0">
                  <c:v>Biostimulant separation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CO2'!$P$63:$P$77</c:f>
              <c:numCache>
                <c:formatCode>0.0%</c:formatCode>
                <c:ptCount val="15"/>
                <c:pt idx="0">
                  <c:v>0.99272111732971924</c:v>
                </c:pt>
                <c:pt idx="1">
                  <c:v>0.65601453907640128</c:v>
                </c:pt>
                <c:pt idx="2">
                  <c:v>0.95567583028080882</c:v>
                </c:pt>
                <c:pt idx="3">
                  <c:v>0.81492141619947001</c:v>
                </c:pt>
                <c:pt idx="4">
                  <c:v>0.72650735761006002</c:v>
                </c:pt>
                <c:pt idx="5">
                  <c:v>0.99347438049043357</c:v>
                </c:pt>
                <c:pt idx="6">
                  <c:v>0.85795293539598483</c:v>
                </c:pt>
                <c:pt idx="7">
                  <c:v>0.77440559675206511</c:v>
                </c:pt>
                <c:pt idx="8">
                  <c:v>0.97156273761048562</c:v>
                </c:pt>
                <c:pt idx="9">
                  <c:v>0.26102706075021448</c:v>
                </c:pt>
                <c:pt idx="10">
                  <c:v>0.96703946584619294</c:v>
                </c:pt>
                <c:pt idx="11">
                  <c:v>0.87712824590042759</c:v>
                </c:pt>
                <c:pt idx="12">
                  <c:v>0.97221607108853936</c:v>
                </c:pt>
                <c:pt idx="13">
                  <c:v>0.98820534576553265</c:v>
                </c:pt>
                <c:pt idx="14">
                  <c:v>0.52169873501625441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9-40B8-9EF6-969B15DCC346}"/>
            </c:ext>
          </c:extLst>
        </c:ser>
        <c:ser>
          <c:idx val="1"/>
          <c:order val="1"/>
          <c:tx>
            <c:strRef>
              <c:f>'Results Pure CO2'!$Q$62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CO2'!$Q$63:$Q$77</c:f>
              <c:numCache>
                <c:formatCode>0.0%</c:formatCode>
                <c:ptCount val="15"/>
                <c:pt idx="0">
                  <c:v>3.8116654450479749E-6</c:v>
                </c:pt>
                <c:pt idx="1">
                  <c:v>1.7923816224390887E-4</c:v>
                </c:pt>
                <c:pt idx="2">
                  <c:v>1.9709223183670427E-3</c:v>
                </c:pt>
                <c:pt idx="3">
                  <c:v>1.020293331302175E-3</c:v>
                </c:pt>
                <c:pt idx="4">
                  <c:v>4.1732440621956493E-4</c:v>
                </c:pt>
                <c:pt idx="5">
                  <c:v>2.4984516822581975E-3</c:v>
                </c:pt>
                <c:pt idx="6">
                  <c:v>6.6185695178886222E-5</c:v>
                </c:pt>
                <c:pt idx="7">
                  <c:v>4.2781649819451155E-4</c:v>
                </c:pt>
                <c:pt idx="8">
                  <c:v>2.1355484093310575E-3</c:v>
                </c:pt>
                <c:pt idx="9">
                  <c:v>4.1721905950245654E-4</c:v>
                </c:pt>
                <c:pt idx="10">
                  <c:v>1.9191234075539249E-3</c:v>
                </c:pt>
                <c:pt idx="11">
                  <c:v>9.6687716586429064E-6</c:v>
                </c:pt>
                <c:pt idx="12">
                  <c:v>8.5073269352995261E-3</c:v>
                </c:pt>
                <c:pt idx="13">
                  <c:v>4.4044344765496232E-3</c:v>
                </c:pt>
                <c:pt idx="14">
                  <c:v>1.3095455318430581E-4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9-40B8-9EF6-969B15DCC346}"/>
            </c:ext>
          </c:extLst>
        </c:ser>
        <c:ser>
          <c:idx val="2"/>
          <c:order val="2"/>
          <c:tx>
            <c:strRef>
              <c:f>'Results Pure CO2'!$R$62</c:f>
              <c:strCache>
                <c:ptCount val="1"/>
                <c:pt idx="0">
                  <c:v>Emzyme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CO2'!$R$63:$R$77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8.1652496046634633E-5</c:v>
                </c:pt>
                <c:pt idx="3">
                  <c:v>0</c:v>
                </c:pt>
                <c:pt idx="4">
                  <c:v>0</c:v>
                </c:pt>
                <c:pt idx="5">
                  <c:v>2.3563596434567836E-4</c:v>
                </c:pt>
                <c:pt idx="6">
                  <c:v>4.2180520761673601E-11</c:v>
                </c:pt>
                <c:pt idx="7">
                  <c:v>8.4293129198918601E-10</c:v>
                </c:pt>
                <c:pt idx="8">
                  <c:v>4.2942255017956638E-5</c:v>
                </c:pt>
                <c:pt idx="9">
                  <c:v>0</c:v>
                </c:pt>
                <c:pt idx="10">
                  <c:v>1.3565377385882439E-4</c:v>
                </c:pt>
                <c:pt idx="11">
                  <c:v>1.3895557083186254E-2</c:v>
                </c:pt>
                <c:pt idx="12">
                  <c:v>5.9801504045193729E-4</c:v>
                </c:pt>
                <c:pt idx="13">
                  <c:v>2.1332782638592521E-4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9-40B8-9EF6-969B15DCC346}"/>
            </c:ext>
          </c:extLst>
        </c:ser>
        <c:ser>
          <c:idx val="3"/>
          <c:order val="3"/>
          <c:tx>
            <c:strRef>
              <c:f>'Results Pure CO2'!$S$62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CO2'!$S$63:$S$77</c:f>
              <c:numCache>
                <c:formatCode>0.0%</c:formatCode>
                <c:ptCount val="15"/>
                <c:pt idx="0">
                  <c:v>6.5538708011975977E-3</c:v>
                </c:pt>
                <c:pt idx="1">
                  <c:v>0.34064801705325487</c:v>
                </c:pt>
                <c:pt idx="2">
                  <c:v>3.8104498155096159E-2</c:v>
                </c:pt>
                <c:pt idx="3">
                  <c:v>0.10404971596447923</c:v>
                </c:pt>
                <c:pt idx="4">
                  <c:v>0.23043565039080324</c:v>
                </c:pt>
                <c:pt idx="5">
                  <c:v>3.5523009700353519E-3</c:v>
                </c:pt>
                <c:pt idx="6">
                  <c:v>0.13145690752283101</c:v>
                </c:pt>
                <c:pt idx="7">
                  <c:v>0.21246487359727428</c:v>
                </c:pt>
                <c:pt idx="8">
                  <c:v>2.3591256796220345E-2</c:v>
                </c:pt>
                <c:pt idx="9">
                  <c:v>0.72915854324261098</c:v>
                </c:pt>
                <c:pt idx="10">
                  <c:v>2.8007511658464643E-2</c:v>
                </c:pt>
                <c:pt idx="11">
                  <c:v>0.10778302832585536</c:v>
                </c:pt>
                <c:pt idx="12">
                  <c:v>1.6514222874404964E-2</c:v>
                </c:pt>
                <c:pt idx="13">
                  <c:v>5.821513395091675E-3</c:v>
                </c:pt>
                <c:pt idx="14">
                  <c:v>0.4685814580765445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9-40B8-9EF6-969B15DCC346}"/>
            </c:ext>
          </c:extLst>
        </c:ser>
        <c:ser>
          <c:idx val="4"/>
          <c:order val="4"/>
          <c:tx>
            <c:strRef>
              <c:f>'Results Pure CO2'!$T$62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CO2'!$T$63:$T$77</c:f>
              <c:numCache>
                <c:formatCode>0.0%</c:formatCode>
                <c:ptCount val="15"/>
                <c:pt idx="0">
                  <c:v>1.9497080082223815E-10</c:v>
                </c:pt>
                <c:pt idx="1">
                  <c:v>4.8391120179527791E-8</c:v>
                </c:pt>
                <c:pt idx="2">
                  <c:v>3.8479911930023221E-9</c:v>
                </c:pt>
                <c:pt idx="3">
                  <c:v>1.4142679839832129E-6</c:v>
                </c:pt>
                <c:pt idx="4">
                  <c:v>9.1811369368304292E-13</c:v>
                </c:pt>
                <c:pt idx="5">
                  <c:v>4.2627611640424222E-8</c:v>
                </c:pt>
                <c:pt idx="6">
                  <c:v>7.4187419984623765E-6</c:v>
                </c:pt>
                <c:pt idx="7">
                  <c:v>7.9096977398985264E-9</c:v>
                </c:pt>
                <c:pt idx="8">
                  <c:v>6.8075424023080277E-9</c:v>
                </c:pt>
                <c:pt idx="9">
                  <c:v>0</c:v>
                </c:pt>
                <c:pt idx="10">
                  <c:v>7.6716227586229239E-8</c:v>
                </c:pt>
                <c:pt idx="11">
                  <c:v>0</c:v>
                </c:pt>
                <c:pt idx="12">
                  <c:v>2.764881253972346E-12</c:v>
                </c:pt>
                <c:pt idx="13">
                  <c:v>7.238592313633728E-6</c:v>
                </c:pt>
                <c:pt idx="14">
                  <c:v>3.4755710797730452E-3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9-40B8-9EF6-969B15DCC346}"/>
            </c:ext>
          </c:extLst>
        </c:ser>
        <c:ser>
          <c:idx val="5"/>
          <c:order val="5"/>
          <c:tx>
            <c:strRef>
              <c:f>'Results Pure CO2'!$U$62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Pure CO2'!$U$63:$U$77</c:f>
              <c:numCache>
                <c:formatCode>0.0%</c:formatCode>
                <c:ptCount val="15"/>
                <c:pt idx="0">
                  <c:v>7.2120000866735077E-4</c:v>
                </c:pt>
                <c:pt idx="1">
                  <c:v>3.1581573169797085E-3</c:v>
                </c:pt>
                <c:pt idx="2">
                  <c:v>4.1670929016903195E-3</c:v>
                </c:pt>
                <c:pt idx="3">
                  <c:v>8.0007160236764616E-2</c:v>
                </c:pt>
                <c:pt idx="4">
                  <c:v>4.2639667591999025E-2</c:v>
                </c:pt>
                <c:pt idx="5">
                  <c:v>2.391882653157137E-4</c:v>
                </c:pt>
                <c:pt idx="6">
                  <c:v>1.0516552601826481E-2</c:v>
                </c:pt>
                <c:pt idx="7">
                  <c:v>1.270170439983705E-2</c:v>
                </c:pt>
                <c:pt idx="8">
                  <c:v>2.6675081214026924E-3</c:v>
                </c:pt>
                <c:pt idx="9">
                  <c:v>9.397176947672151E-3</c:v>
                </c:pt>
                <c:pt idx="10">
                  <c:v>2.8981685977019934E-3</c:v>
                </c:pt>
                <c:pt idx="11">
                  <c:v>1.1834999188721372E-3</c:v>
                </c:pt>
                <c:pt idx="12">
                  <c:v>2.1643640585394383E-3</c:v>
                </c:pt>
                <c:pt idx="13">
                  <c:v>1.3481399441264933E-3</c:v>
                </c:pt>
                <c:pt idx="14">
                  <c:v>6.1132812742436598E-3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9-40B8-9EF6-969B15DC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204</xdr:row>
      <xdr:rowOff>19050</xdr:rowOff>
    </xdr:from>
    <xdr:to>
      <xdr:col>7</xdr:col>
      <xdr:colOff>330347</xdr:colOff>
      <xdr:row>208</xdr:row>
      <xdr:rowOff>117971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ECEE6-5869-4C71-A16C-D9AB0C4D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39998650"/>
          <a:ext cx="2851297" cy="8418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401461</xdr:colOff>
      <xdr:row>8</xdr:row>
      <xdr:rowOff>185208</xdr:rowOff>
    </xdr:from>
    <xdr:to>
      <xdr:col>4</xdr:col>
      <xdr:colOff>333188</xdr:colOff>
      <xdr:row>10</xdr:row>
      <xdr:rowOff>47602</xdr:rowOff>
    </xdr:to>
    <xdr:sp macro="" textlink="">
      <xdr:nvSpPr>
        <xdr:cNvPr id="3" name="CuadroTexto 27">
          <a:extLst>
            <a:ext uri="{FF2B5EF4-FFF2-40B4-BE49-F238E27FC236}">
              <a16:creationId xmlns:a16="http://schemas.microsoft.com/office/drawing/2014/main" id="{C233967A-680B-4FBE-A52F-082CB7F239F3}"/>
            </a:ext>
          </a:extLst>
        </xdr:cNvPr>
        <xdr:cNvSpPr txBox="1"/>
      </xdr:nvSpPr>
      <xdr:spPr>
        <a:xfrm>
          <a:off x="4027311" y="1734608"/>
          <a:ext cx="947727" cy="23069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0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1690689</xdr:colOff>
      <xdr:row>12</xdr:row>
      <xdr:rowOff>142875</xdr:rowOff>
    </xdr:from>
    <xdr:to>
      <xdr:col>22</xdr:col>
      <xdr:colOff>390120</xdr:colOff>
      <xdr:row>16</xdr:row>
      <xdr:rowOff>113505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A213512-F67E-47CB-8B49-99A86DDE9918}"/>
            </a:ext>
          </a:extLst>
        </xdr:cNvPr>
        <xdr:cNvSpPr/>
      </xdr:nvSpPr>
      <xdr:spPr>
        <a:xfrm>
          <a:off x="27509789" y="2428875"/>
          <a:ext cx="1474381" cy="7072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/>
            <a:t>Flash</a:t>
          </a:r>
        </a:p>
      </xdr:txBody>
    </xdr:sp>
    <xdr:clientData/>
  </xdr:twoCellAnchor>
  <xdr:twoCellAnchor>
    <xdr:from>
      <xdr:col>20</xdr:col>
      <xdr:colOff>916781</xdr:colOff>
      <xdr:row>14</xdr:row>
      <xdr:rowOff>128190</xdr:rowOff>
    </xdr:from>
    <xdr:to>
      <xdr:col>20</xdr:col>
      <xdr:colOff>1690689</xdr:colOff>
      <xdr:row>14</xdr:row>
      <xdr:rowOff>130969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CA5B05F4-AD46-4CB1-B938-E7E123422F31}"/>
            </a:ext>
          </a:extLst>
        </xdr:cNvPr>
        <xdr:cNvCxnSpPr>
          <a:endCxn id="4" idx="1"/>
        </xdr:cNvCxnSpPr>
      </xdr:nvCxnSpPr>
      <xdr:spPr>
        <a:xfrm flipV="1">
          <a:off x="26970831" y="2782490"/>
          <a:ext cx="538958" cy="27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357188</xdr:colOff>
      <xdr:row>15</xdr:row>
      <xdr:rowOff>71437</xdr:rowOff>
    </xdr:from>
    <xdr:to>
      <xdr:col>20</xdr:col>
      <xdr:colOff>1304915</xdr:colOff>
      <xdr:row>16</xdr:row>
      <xdr:rowOff>124331</xdr:rowOff>
    </xdr:to>
    <xdr:sp macro="" textlink="">
      <xdr:nvSpPr>
        <xdr:cNvPr id="6" name="CuadroTexto 27">
          <a:extLst>
            <a:ext uri="{FF2B5EF4-FFF2-40B4-BE49-F238E27FC236}">
              <a16:creationId xmlns:a16="http://schemas.microsoft.com/office/drawing/2014/main" id="{70F7AF42-0B54-4E31-B7A9-61115AD87531}"/>
            </a:ext>
          </a:extLst>
        </xdr:cNvPr>
        <xdr:cNvSpPr txBox="1"/>
      </xdr:nvSpPr>
      <xdr:spPr>
        <a:xfrm>
          <a:off x="26411238" y="2909887"/>
          <a:ext cx="947727" cy="2370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Q13</a:t>
          </a:r>
        </a:p>
      </xdr:txBody>
    </xdr:sp>
    <xdr:clientData/>
  </xdr:twoCellAnchor>
  <xdr:twoCellAnchor>
    <xdr:from>
      <xdr:col>21</xdr:col>
      <xdr:colOff>492718</xdr:colOff>
      <xdr:row>10</xdr:row>
      <xdr:rowOff>178594</xdr:rowOff>
    </xdr:from>
    <xdr:to>
      <xdr:col>22</xdr:col>
      <xdr:colOff>619126</xdr:colOff>
      <xdr:row>12</xdr:row>
      <xdr:rowOff>142875</xdr:rowOff>
    </xdr:to>
    <xdr:cxnSp macro="">
      <xdr:nvCxnSpPr>
        <xdr:cNvPr id="7" name="Conector: angular 6">
          <a:extLst>
            <a:ext uri="{FF2B5EF4-FFF2-40B4-BE49-F238E27FC236}">
              <a16:creationId xmlns:a16="http://schemas.microsoft.com/office/drawing/2014/main" id="{A07336E7-B928-4BDC-A829-4DE1B35D0B8B}"/>
            </a:ext>
          </a:extLst>
        </xdr:cNvPr>
        <xdr:cNvCxnSpPr>
          <a:stCxn id="4" idx="0"/>
        </xdr:cNvCxnSpPr>
      </xdr:nvCxnSpPr>
      <xdr:spPr>
        <a:xfrm rot="5400000" flipH="1" flipV="1">
          <a:off x="28440756" y="1656456"/>
          <a:ext cx="332581" cy="121225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492718</xdr:colOff>
      <xdr:row>16</xdr:row>
      <xdr:rowOff>113504</xdr:rowOff>
    </xdr:from>
    <xdr:to>
      <xdr:col>22</xdr:col>
      <xdr:colOff>654844</xdr:colOff>
      <xdr:row>18</xdr:row>
      <xdr:rowOff>83343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F3D22BA3-A93B-477B-A4ED-7D420D6AD15E}"/>
            </a:ext>
          </a:extLst>
        </xdr:cNvPr>
        <xdr:cNvCxnSpPr>
          <a:stCxn id="4" idx="2"/>
        </xdr:cNvCxnSpPr>
      </xdr:nvCxnSpPr>
      <xdr:spPr>
        <a:xfrm rot="16200000" flipH="1">
          <a:off x="28455836" y="2681186"/>
          <a:ext cx="338139" cy="1247976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154782</xdr:colOff>
      <xdr:row>10</xdr:row>
      <xdr:rowOff>154781</xdr:rowOff>
    </xdr:from>
    <xdr:to>
      <xdr:col>23</xdr:col>
      <xdr:colOff>340509</xdr:colOff>
      <xdr:row>12</xdr:row>
      <xdr:rowOff>17175</xdr:rowOff>
    </xdr:to>
    <xdr:sp macro="" textlink="">
      <xdr:nvSpPr>
        <xdr:cNvPr id="9" name="CuadroTexto 27">
          <a:extLst>
            <a:ext uri="{FF2B5EF4-FFF2-40B4-BE49-F238E27FC236}">
              <a16:creationId xmlns:a16="http://schemas.microsoft.com/office/drawing/2014/main" id="{9AA2686A-4B96-49FB-9263-71EF2F33A3A1}"/>
            </a:ext>
          </a:extLst>
        </xdr:cNvPr>
        <xdr:cNvSpPr txBox="1"/>
      </xdr:nvSpPr>
      <xdr:spPr>
        <a:xfrm>
          <a:off x="28748832" y="2072481"/>
          <a:ext cx="947727" cy="23069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V (acetona)</a:t>
          </a:r>
        </a:p>
      </xdr:txBody>
    </xdr:sp>
    <xdr:clientData/>
  </xdr:twoCellAnchor>
  <xdr:twoCellAnchor>
    <xdr:from>
      <xdr:col>22</xdr:col>
      <xdr:colOff>214313</xdr:colOff>
      <xdr:row>18</xdr:row>
      <xdr:rowOff>71438</xdr:rowOff>
    </xdr:from>
    <xdr:to>
      <xdr:col>23</xdr:col>
      <xdr:colOff>400040</xdr:colOff>
      <xdr:row>19</xdr:row>
      <xdr:rowOff>124332</xdr:rowOff>
    </xdr:to>
    <xdr:sp macro="" textlink="">
      <xdr:nvSpPr>
        <xdr:cNvPr id="10" name="CuadroTexto 27">
          <a:extLst>
            <a:ext uri="{FF2B5EF4-FFF2-40B4-BE49-F238E27FC236}">
              <a16:creationId xmlns:a16="http://schemas.microsoft.com/office/drawing/2014/main" id="{CE74D9D0-9146-4EB5-A969-51D24FCE010B}"/>
            </a:ext>
          </a:extLst>
        </xdr:cNvPr>
        <xdr:cNvSpPr txBox="1"/>
      </xdr:nvSpPr>
      <xdr:spPr>
        <a:xfrm>
          <a:off x="28808363" y="3462338"/>
          <a:ext cx="947727" cy="2370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L (pesticida)</a:t>
          </a:r>
        </a:p>
      </xdr:txBody>
    </xdr:sp>
    <xdr:clientData/>
  </xdr:twoCellAnchor>
  <xdr:twoCellAnchor editAs="oneCell">
    <xdr:from>
      <xdr:col>33</xdr:col>
      <xdr:colOff>223837</xdr:colOff>
      <xdr:row>3</xdr:row>
      <xdr:rowOff>25401</xdr:rowOff>
    </xdr:from>
    <xdr:to>
      <xdr:col>39</xdr:col>
      <xdr:colOff>130342</xdr:colOff>
      <xdr:row>21</xdr:row>
      <xdr:rowOff>160338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20814C9-44E2-44B2-B86F-473042BAD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577" r="13173"/>
        <a:stretch/>
      </xdr:blipFill>
      <xdr:spPr>
        <a:xfrm>
          <a:off x="39181087" y="647701"/>
          <a:ext cx="4478505" cy="3455987"/>
        </a:xfrm>
        <a:prstGeom prst="rect">
          <a:avLst/>
        </a:prstGeom>
      </xdr:spPr>
    </xdr:pic>
    <xdr:clientData/>
  </xdr:twoCellAnchor>
  <xdr:twoCellAnchor>
    <xdr:from>
      <xdr:col>20</xdr:col>
      <xdr:colOff>702469</xdr:colOff>
      <xdr:row>14</xdr:row>
      <xdr:rowOff>11906</xdr:rowOff>
    </xdr:from>
    <xdr:to>
      <xdr:col>20</xdr:col>
      <xdr:colOff>935037</xdr:colOff>
      <xdr:row>15</xdr:row>
      <xdr:rowOff>59532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A81F90B6-E790-4EBE-84AF-D98B6B2CD656}"/>
            </a:ext>
          </a:extLst>
        </xdr:cNvPr>
        <xdr:cNvSpPr/>
      </xdr:nvSpPr>
      <xdr:spPr>
        <a:xfrm>
          <a:off x="26756519" y="2666206"/>
          <a:ext cx="232568" cy="2317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631031</xdr:colOff>
      <xdr:row>13</xdr:row>
      <xdr:rowOff>154781</xdr:rowOff>
    </xdr:from>
    <xdr:to>
      <xdr:col>20</xdr:col>
      <xdr:colOff>1000125</xdr:colOff>
      <xdr:row>15</xdr:row>
      <xdr:rowOff>95250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2824D21-4E34-41BB-97A9-C85E1F05E87A}"/>
            </a:ext>
          </a:extLst>
        </xdr:cNvPr>
        <xdr:cNvCxnSpPr/>
      </xdr:nvCxnSpPr>
      <xdr:spPr>
        <a:xfrm flipV="1">
          <a:off x="26685081" y="2624931"/>
          <a:ext cx="369094" cy="3087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137</xdr:row>
      <xdr:rowOff>0</xdr:rowOff>
    </xdr:from>
    <xdr:to>
      <xdr:col>19</xdr:col>
      <xdr:colOff>438073</xdr:colOff>
      <xdr:row>151</xdr:row>
      <xdr:rowOff>34054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07305C9-D1F8-46EC-9172-834E79F57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593045</xdr:colOff>
      <xdr:row>137</xdr:row>
      <xdr:rowOff>0</xdr:rowOff>
    </xdr:from>
    <xdr:to>
      <xdr:col>22</xdr:col>
      <xdr:colOff>416908</xdr:colOff>
      <xdr:row>151</xdr:row>
      <xdr:rowOff>34054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61BB568-0ED6-41B5-9D84-799DF5974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275166</xdr:colOff>
      <xdr:row>0</xdr:row>
      <xdr:rowOff>105833</xdr:rowOff>
    </xdr:from>
    <xdr:to>
      <xdr:col>9</xdr:col>
      <xdr:colOff>3069167</xdr:colOff>
      <xdr:row>23</xdr:row>
      <xdr:rowOff>150335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4A0167B-402D-4CC1-A708-5485F2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5166" y="105833"/>
          <a:ext cx="10826751" cy="4356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30</xdr:row>
      <xdr:rowOff>19059</xdr:rowOff>
    </xdr:from>
    <xdr:to>
      <xdr:col>24</xdr:col>
      <xdr:colOff>19614</xdr:colOff>
      <xdr:row>54</xdr:row>
      <xdr:rowOff>183424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AC9B70-5C10-2E5A-CAB8-C823D8CE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6358" y="5997130"/>
          <a:ext cx="8029685" cy="4536794"/>
        </a:xfrm>
        <a:prstGeom prst="rect">
          <a:avLst/>
        </a:prstGeom>
      </xdr:spPr>
    </xdr:pic>
    <xdr:clientData/>
  </xdr:twoCellAnchor>
  <xdr:twoCellAnchor editAs="oneCell">
    <xdr:from>
      <xdr:col>19</xdr:col>
      <xdr:colOff>751416</xdr:colOff>
      <xdr:row>5</xdr:row>
      <xdr:rowOff>52917</xdr:rowOff>
    </xdr:from>
    <xdr:to>
      <xdr:col>34</xdr:col>
      <xdr:colOff>148167</xdr:colOff>
      <xdr:row>26</xdr:row>
      <xdr:rowOff>2169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D1E7E-FEAD-4C1C-A2F8-6AFDB4F4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8083" y="984250"/>
          <a:ext cx="10826751" cy="4267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0</xdr:rowOff>
    </xdr:from>
    <xdr:to>
      <xdr:col>28</xdr:col>
      <xdr:colOff>187474</xdr:colOff>
      <xdr:row>7</xdr:row>
      <xdr:rowOff>171526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71A0B6-238F-4A3B-91B1-167A3E3E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9</xdr:row>
      <xdr:rowOff>0</xdr:rowOff>
    </xdr:from>
    <xdr:to>
      <xdr:col>26</xdr:col>
      <xdr:colOff>187474</xdr:colOff>
      <xdr:row>15</xdr:row>
      <xdr:rowOff>171526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04A4FF-50A3-4330-9197-F14443721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49</xdr:row>
      <xdr:rowOff>0</xdr:rowOff>
    </xdr:from>
    <xdr:to>
      <xdr:col>26</xdr:col>
      <xdr:colOff>187474</xdr:colOff>
      <xdr:row>55</xdr:row>
      <xdr:rowOff>171526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90E341-D74B-4FED-861D-1B0594E49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26</xdr:col>
      <xdr:colOff>187474</xdr:colOff>
      <xdr:row>47</xdr:row>
      <xdr:rowOff>171526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52C23C-8FFC-47EB-A694-6B0FAE416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26</xdr:col>
      <xdr:colOff>187474</xdr:colOff>
      <xdr:row>39</xdr:row>
      <xdr:rowOff>171525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7313544-CD46-434E-8697-1FB221EF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25</xdr:row>
      <xdr:rowOff>0</xdr:rowOff>
    </xdr:from>
    <xdr:to>
      <xdr:col>26</xdr:col>
      <xdr:colOff>187474</xdr:colOff>
      <xdr:row>31</xdr:row>
      <xdr:rowOff>171526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CC3370F-F68C-451E-98DB-923B565C8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5291</xdr:colOff>
      <xdr:row>61</xdr:row>
      <xdr:rowOff>25399</xdr:rowOff>
    </xdr:from>
    <xdr:to>
      <xdr:col>28</xdr:col>
      <xdr:colOff>751416</xdr:colOff>
      <xdr:row>76</xdr:row>
      <xdr:rowOff>10582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3FE6E88-7C1F-8980-4D94-085CA354B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80</xdr:row>
      <xdr:rowOff>0</xdr:rowOff>
    </xdr:from>
    <xdr:to>
      <xdr:col>25</xdr:col>
      <xdr:colOff>746125</xdr:colOff>
      <xdr:row>94</xdr:row>
      <xdr:rowOff>165100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BE679FC-FE24-4D02-AA8E-748D7AC0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118</xdr:row>
      <xdr:rowOff>0</xdr:rowOff>
    </xdr:from>
    <xdr:to>
      <xdr:col>26</xdr:col>
      <xdr:colOff>746125</xdr:colOff>
      <xdr:row>132</xdr:row>
      <xdr:rowOff>165100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9C56FBE-D2C3-4E2A-AD2E-E4E748C46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21167</xdr:colOff>
      <xdr:row>137</xdr:row>
      <xdr:rowOff>95250</xdr:rowOff>
    </xdr:from>
    <xdr:to>
      <xdr:col>27</xdr:col>
      <xdr:colOff>5292</xdr:colOff>
      <xdr:row>152</xdr:row>
      <xdr:rowOff>80433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091E426-26E5-4BE6-8461-E075C5EE1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156</xdr:row>
      <xdr:rowOff>0</xdr:rowOff>
    </xdr:from>
    <xdr:to>
      <xdr:col>26</xdr:col>
      <xdr:colOff>746125</xdr:colOff>
      <xdr:row>170</xdr:row>
      <xdr:rowOff>165099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3D8205F-23F1-4F37-9A87-2B196549D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175</xdr:row>
      <xdr:rowOff>0</xdr:rowOff>
    </xdr:from>
    <xdr:to>
      <xdr:col>27</xdr:col>
      <xdr:colOff>746125</xdr:colOff>
      <xdr:row>189</xdr:row>
      <xdr:rowOff>165100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0A6E82-46FD-4707-9458-B9E2175D9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52917</xdr:colOff>
      <xdr:row>16</xdr:row>
      <xdr:rowOff>172356</xdr:rowOff>
    </xdr:from>
    <xdr:to>
      <xdr:col>34</xdr:col>
      <xdr:colOff>793750</xdr:colOff>
      <xdr:row>30</xdr:row>
      <xdr:rowOff>24795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A0A3697-E62B-4170-929B-CBFB19476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52917</xdr:colOff>
      <xdr:row>16</xdr:row>
      <xdr:rowOff>172356</xdr:rowOff>
    </xdr:from>
    <xdr:to>
      <xdr:col>43</xdr:col>
      <xdr:colOff>793750</xdr:colOff>
      <xdr:row>30</xdr:row>
      <xdr:rowOff>24795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7A8FE85-B0B2-4136-BB8A-DA133A1D8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vaes-my.sharepoint.com/personal/elenamaria_rojo_uva_es/Documents/Doctorado/Analisis%20tecnoeconomico/GREENFARM/Final/GREENFARM%20BUENO%20FINAL%20V2.xlsx" TargetMode="External"/><Relationship Id="rId1" Type="http://schemas.openxmlformats.org/officeDocument/2006/relationships/externalLinkPath" Target="/personal/elenamaria_rojo_uva_es/Documents/Doctorado/Analisis%20tecnoeconomico/GREENFARM/Final/GREENFARM%20BUENO%20FIN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vaes-my.sharepoint.com/personal/elenamaria_rojo_uva_es/Documents/Doctorado/Ciclos%20de%20Vida/Greenfarm/Escenario%201%20(UF%20bioestimulante).xlsx" TargetMode="External"/><Relationship Id="rId1" Type="http://schemas.openxmlformats.org/officeDocument/2006/relationships/externalLinkPath" Target="Escenario%201%20(UF%20bioestimula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nsibilidad proceso 1"/>
      <sheetName val="Sensibilidad proceso 2"/>
      <sheetName val="Sensibilidad proceso 3"/>
      <sheetName val="Escenario 3 (acet) (3)"/>
      <sheetName val="Sensibilidad proceso 4"/>
      <sheetName val="Graficas"/>
      <sheetName val="Graficas (OK)"/>
      <sheetName val="Escenario 1"/>
      <sheetName val="Escenario 2"/>
      <sheetName val="Escenario 3 (acet)"/>
      <sheetName val="Escenario 4 (acet)"/>
      <sheetName val="Escenario 3 (acet) (2)"/>
      <sheetName val="Escenario 4 (acet) (2)"/>
      <sheetName val="AS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9">
          <cell r="E69">
            <v>6774</v>
          </cell>
        </row>
        <row r="70">
          <cell r="E70">
            <v>2822.5</v>
          </cell>
        </row>
        <row r="71">
          <cell r="E71">
            <v>564.5</v>
          </cell>
        </row>
        <row r="72">
          <cell r="E72">
            <v>10000</v>
          </cell>
        </row>
        <row r="73">
          <cell r="E73">
            <v>564.5</v>
          </cell>
        </row>
        <row r="74">
          <cell r="E74">
            <v>6000</v>
          </cell>
        </row>
        <row r="119">
          <cell r="C119">
            <v>47.211643835616371</v>
          </cell>
        </row>
        <row r="160">
          <cell r="M160">
            <v>1.028125</v>
          </cell>
          <cell r="O160">
            <v>6.3849999999999998</v>
          </cell>
          <cell r="Q160">
            <v>6.3849999999999998</v>
          </cell>
        </row>
        <row r="161">
          <cell r="C161">
            <v>65.488963502830316</v>
          </cell>
        </row>
        <row r="183">
          <cell r="C183">
            <v>80.662295541954379</v>
          </cell>
        </row>
      </sheetData>
      <sheetData sheetId="8">
        <row r="90">
          <cell r="C90">
            <v>50</v>
          </cell>
        </row>
        <row r="91">
          <cell r="C91">
            <v>0.05</v>
          </cell>
        </row>
        <row r="92">
          <cell r="C92">
            <v>0.1</v>
          </cell>
        </row>
        <row r="93">
          <cell r="C93">
            <v>0.3</v>
          </cell>
        </row>
        <row r="94">
          <cell r="C94">
            <v>0.25</v>
          </cell>
        </row>
        <row r="95">
          <cell r="C95">
            <v>10</v>
          </cell>
        </row>
        <row r="96">
          <cell r="C96">
            <v>0.05</v>
          </cell>
        </row>
        <row r="97">
          <cell r="C97">
            <v>0.5</v>
          </cell>
        </row>
      </sheetData>
      <sheetData sheetId="9" refreshError="1"/>
      <sheetData sheetId="10">
        <row r="133">
          <cell r="S133">
            <v>0.16724087953648539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enario 1"/>
      <sheetName val="Calculations"/>
      <sheetName val="LCA inventary (pure CO2)"/>
      <sheetName val="LCA inventary (flue gas)"/>
      <sheetName val="Results Pure CO2 (LDPE)"/>
      <sheetName val="Results Pure CO2 (GF)"/>
      <sheetName val="Comparation LDPE-GF"/>
      <sheetName val="Results Flue gas (GF)"/>
      <sheetName val="Comparation Pure-Flue (GF)"/>
    </sheetNames>
    <sheetDataSet>
      <sheetData sheetId="0">
        <row r="20">
          <cell r="N20">
            <v>22.530846141785943</v>
          </cell>
        </row>
      </sheetData>
      <sheetData sheetId="1">
        <row r="6">
          <cell r="N6">
            <v>0.23713812582161542</v>
          </cell>
        </row>
      </sheetData>
      <sheetData sheetId="2">
        <row r="5">
          <cell r="K5">
            <v>22.530846141785943</v>
          </cell>
        </row>
      </sheetData>
      <sheetData sheetId="3" refreshError="1"/>
      <sheetData sheetId="4" refreshError="1"/>
      <sheetData sheetId="5">
        <row r="4">
          <cell r="AM4" t="str">
            <v>Biostimulant production</v>
          </cell>
          <cell r="AN4" t="str">
            <v>Biomass pretreatment</v>
          </cell>
          <cell r="AO4" t="str">
            <v>Biomass harvesting</v>
          </cell>
          <cell r="AP4" t="str">
            <v>Cultivation</v>
          </cell>
        </row>
        <row r="7">
          <cell r="AM7">
            <v>0.36734423842494096</v>
          </cell>
          <cell r="AN7">
            <v>-6.1556083882334158E-3</v>
          </cell>
          <cell r="AO7">
            <v>1.4667700498136179E-2</v>
          </cell>
          <cell r="AP7">
            <v>0.62414366946515631</v>
          </cell>
        </row>
        <row r="10">
          <cell r="AM10">
            <v>0.42891703632714573</v>
          </cell>
          <cell r="AN10">
            <v>-3.1557165176773413E-2</v>
          </cell>
          <cell r="AO10">
            <v>1.7733554334604662E-2</v>
          </cell>
          <cell r="AP10">
            <v>0.58490657451502304</v>
          </cell>
        </row>
        <row r="13">
          <cell r="AM13">
            <v>0.36771218789038251</v>
          </cell>
          <cell r="AN13">
            <v>-2.1681552781221738E-4</v>
          </cell>
          <cell r="AO13">
            <v>7.9188670035215212E-3</v>
          </cell>
          <cell r="AP13">
            <v>0.62458576063390814</v>
          </cell>
        </row>
        <row r="16">
          <cell r="AM16">
            <v>0.31914530786522666</v>
          </cell>
          <cell r="AN16">
            <v>1.9224544203891266E-3</v>
          </cell>
          <cell r="AO16">
            <v>1.8751081311053977E-2</v>
          </cell>
          <cell r="AP16">
            <v>0.6601811564033303</v>
          </cell>
        </row>
        <row r="32">
          <cell r="AG32" t="str">
            <v>Global warming</v>
          </cell>
        </row>
        <row r="33">
          <cell r="AG33" t="str">
            <v>Human health</v>
          </cell>
        </row>
        <row r="34">
          <cell r="AG34" t="str">
            <v>Ecosystem quality</v>
          </cell>
        </row>
        <row r="35">
          <cell r="AG35" t="str">
            <v>Resources</v>
          </cell>
        </row>
      </sheetData>
      <sheetData sheetId="6" refreshError="1"/>
      <sheetData sheetId="7" refreshError="1"/>
      <sheetData sheetId="8">
        <row r="3">
          <cell r="D3">
            <v>0.95097425765799981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ENA MARIA ROJO DE BENITO" id="{1EC50636-2887-49B2-AA6F-99508F7D9405}" userId="ELENA MARIA ROJO DE BENITO" providerId="None"/>
  <person displayName="ELENA MARIA ROJO DE BENITO" id="{19989422-C3B1-4B89-8F45-A028D13F0978}" userId="S::elenamaria.rojo@uva.es::8e30a15a-038a-4d57-a480-80842eddf8f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5" dT="2022-10-07T10:03:16.63" personId="{1EC50636-2887-49B2-AA6F-99508F7D9405}" id="{DE29C786-67E1-4943-B401-EAEB34D94B5E}">
    <text>Excel Rubén (datos Almería?)</text>
  </threadedComment>
  <threadedComment ref="AB11" dT="2022-10-27T19:49:52.36" personId="{19989422-C3B1-4B89-8F45-A028D13F0978}" id="{6B594E60-2647-4C41-9DB8-4862734FB5A7}">
    <text>https://ceta.zaragoza.unam.mx/wp-content/recursosi/calculadoras/constantes-de-antonio/constantes-de-antonio.htm</text>
    <extLst>
      <x:ext xmlns:xltc2="http://schemas.microsoft.com/office/spreadsheetml/2020/threadedcomments2" uri="{F7C98A9C-CBB3-438F-8F68-D28B6AF4A901}">
        <xltc2:checksum>4084752734</xltc2:checksum>
        <xltc2:hyperlink startIndex="0" length="111" url="https://ceta.zaragoza.unam.mx/wp-content/recursosi/calculadoras/constantes-de-antonio/constantes-de-antonio.htm"/>
      </x:ext>
    </extLst>
  </threadedComment>
  <threadedComment ref="F26" dT="2022-10-10T17:02:21.52" personId="{19989422-C3B1-4B89-8F45-A028D13F0978}" id="{17DB100F-C671-40A2-96EA-02292C3106E1}">
    <text>Mismas concentraciones que Q7 y Q8</text>
  </threadedComment>
  <threadedComment ref="J26" dT="2022-10-10T16:21:30.04" personId="{19989422-C3B1-4B89-8F45-A028D13F0978}" id="{1E0C0FD7-5BCE-4EA6-9847-80934AAC1083}">
    <text>Concentraciones igual que la purga (para sacar los flujos másicos)</text>
  </threadedComment>
  <threadedComment ref="X26" dT="2022-10-05T15:11:06.40" personId="{19989422-C3B1-4B89-8F45-A028D13F0978}" id="{BB44A039-A951-4403-A62E-07713B823741}">
    <text>Artículo Javiera</text>
  </threadedComment>
  <threadedComment ref="AB26" dT="2022-10-05T18:06:29.31" personId="{19989422-C3B1-4B89-8F45-A028D13F0978}" id="{B31DD9D3-DE32-4F03-B9A9-2F051061075D}">
    <text>Del Excel de Rubén</text>
  </threadedComment>
  <threadedComment ref="O27" dT="2022-10-11T09:54:32.57" personId="{1EC50636-2887-49B2-AA6F-99508F7D9405}" id="{F6F34502-F244-4667-B48C-B6ED7362AB38}">
    <text>Se ha añadido acetona</text>
  </threadedComment>
  <threadedComment ref="G28" dT="2022-10-10T15:48:57.77" personId="{19989422-C3B1-4B89-8F45-A028D13F0978}" id="{ED5871EF-493D-4FC4-8961-F58BE6BFAD8C}">
    <text>La entrada al reactor tiene que ser una dilución del purín del 10%</text>
  </threadedComment>
  <threadedComment ref="D30" dT="2022-10-10T15:46:48.86" personId="{19989422-C3B1-4B89-8F45-A028D13F0978}" id="{11013611-6E34-4E54-97D1-394DEAB51EA6}">
    <text>Se resta al total sólo los sólidos</text>
  </threadedComment>
  <threadedComment ref="Y32" dT="2022-10-05T15:18:00.46" personId="{19989422-C3B1-4B89-8F45-A028D13F0978}" id="{0FBC80F8-3378-4D42-A482-3BBD8EB1BF39}">
    <text>Del Excel de Rubén</text>
  </threadedComment>
  <threadedComment ref="X34" dT="2022-10-05T15:11:06.40" personId="{19989422-C3B1-4B89-8F45-A028D13F0978}" id="{DBC7B904-179F-4D96-941D-4FB1760863E3}">
    <text>Artículo Javiera</text>
  </threadedComment>
  <threadedComment ref="AC35" dT="2022-10-10T16:00:43.93" personId="{19989422-C3B1-4B89-8F45-A028D13F0978}" id="{DF617806-E2FF-409D-824D-0D8517CE6876}">
    <text>Area calculado según Excel Rubén</text>
  </threadedComment>
  <threadedComment ref="L36" dT="2022-10-10T16:32:32.28" personId="{19989422-C3B1-4B89-8F45-A028D13F0978}" id="{571EE9D9-652A-4E0C-B7A1-6A59EA646377}">
    <text>Suma del TOC de la alga y lo que no se ha eliminado en el sistema.
Se hace igual para el TN y el TP</text>
  </threadedComment>
  <threadedComment ref="AB38" dT="2022-10-05T15:11:06.40" personId="{19989422-C3B1-4B89-8F45-A028D13F0978}" id="{DD808533-F858-4A01-8887-5E54897E2A07}">
    <text>Artículo Javiera</text>
  </threadedComment>
  <threadedComment ref="H40" dT="2022-10-10T16:04:14.64" personId="{19989422-C3B1-4B89-8F45-A028D13F0978}" id="{97ACEC5D-386B-4AD3-A98B-8B6A36B3B4DC}">
    <text>Pérdidas del 10% (buscar referencia de reactor que mida eso)</text>
  </threadedComment>
  <threadedComment ref="J41" dT="2022-10-10T16:19:54.93" personId="{19989422-C3B1-4B89-8F45-A028D13F0978}" id="{F9B0A8A5-EB9E-45B5-8ABC-A9934B7320AD}">
    <text>Valor obtenido del Ecxel de Ruben y confirmado por Silvia 10/10/22</text>
  </threadedComment>
  <threadedComment ref="X43" dT="2022-10-05T15:11:06.40" personId="{19989422-C3B1-4B89-8F45-A028D13F0978}" id="{797B9D71-72F2-40B7-A85D-8CBDFE5FEFA8}">
    <text>Artículo Javiera</text>
  </threadedComment>
  <threadedComment ref="AB43" dT="2022-10-05T15:11:06.40" personId="{19989422-C3B1-4B89-8F45-A028D13F0978}" id="{0E2FE923-801F-4EAE-92B8-C78BEFD30EA0}">
    <text>Artículo Javiera</text>
  </threadedComment>
  <threadedComment ref="Y47" dT="2022-10-06T11:57:55.03" personId="{1EC50636-2887-49B2-AA6F-99508F7D9405}" id="{776777BD-9677-40DD-BFEC-44387E0FC78C}">
    <text>Excel Rubén</text>
  </threadedComment>
  <threadedComment ref="AB48" dT="2022-10-05T15:11:06.40" personId="{19989422-C3B1-4B89-8F45-A028D13F0978}" id="{B9CF54AF-6452-41E5-834D-F869EB2F4485}">
    <text>Artículo Javiera</text>
  </threadedComment>
  <threadedComment ref="AC52" dT="2022-10-11T09:41:53.60" personId="{1EC50636-2887-49B2-AA6F-99508F7D9405}" id="{6FF1728C-6D90-421C-90B3-C08761F9DE6D}">
    <text>Excel Rubén</text>
  </threadedComment>
  <threadedComment ref="Y55" dT="2023-01-20T17:17:53.87" personId="{19989422-C3B1-4B89-8F45-A028D13F0978}" id="{A54C85D6-E228-4952-851D-6C384FB20423}">
    <text>Misma concentración que usamos nosotros</text>
  </threadedComment>
  <threadedComment ref="J78" dT="2022-10-10T17:19:28.28" personId="{19989422-C3B1-4B89-8F45-A028D13F0978}" id="{DE8941B9-BB7B-4DC2-A531-ED31766FC48C}">
    <text>Meter aquí las bombas</text>
  </threadedComment>
  <threadedComment ref="K107" dT="2022-10-10T18:35:47.69" personId="{19989422-C3B1-4B89-8F45-A028D13F0978}" id="{569E517D-FBE5-4F0A-8F89-A28B7E5A92F0}">
    <text>Valores medios</text>
  </threadedComment>
  <threadedComment ref="D110" dT="2022-10-06T09:57:43.22" personId="{1EC50636-2887-49B2-AA6F-99508F7D9405}" id="{ED1C24FA-08E5-4269-A29A-334B7F281AD6}">
    <text>Artículo Victor</text>
  </threadedComment>
  <threadedComment ref="D118" dT="2022-11-04T17:23:43.05" personId="{19989422-C3B1-4B89-8F45-A028D13F0978}" id="{F3161AEE-31AE-4DB6-9C5E-5208FFA2117E}">
    <text>Perez 2021</text>
  </threadedComment>
  <threadedComment ref="D138" dT="2022-10-06T15:15:55.41" personId="{19989422-C3B1-4B89-8F45-A028D13F0978}" id="{F5B3F917-3316-4CCF-8985-D0A0ED184D6D}">
    <text>Mirar cuanto sube la temperatura</text>
  </threadedComment>
  <threadedComment ref="L138" dT="2022-10-11T08:41:13.64" personId="{1EC50636-2887-49B2-AA6F-99508F7D9405}" id="{C3E5B0E4-F179-448A-B504-32DDF0B13731}">
    <text>https://www.kochseparation.com/technologies/membrane-filtration/puron-mbr-and-pulsion-mbr-modules/#datasheets</text>
    <extLst>
      <x:ext xmlns:xltc2="http://schemas.microsoft.com/office/spreadsheetml/2020/threadedcomments2" uri="{F7C98A9C-CBB3-438F-8F68-D28B6AF4A901}">
        <xltc2:checksum>2017703462</xltc2:checksum>
        <xltc2:hyperlink startIndex="0" length="109" url="https://www.kochseparation.com/technologies/membrane-filtration/puron-mbr-and-pulsion-mbr-modules/#datasheets"/>
      </x:ext>
    </extLst>
  </threadedComment>
  <threadedComment ref="D139" dT="2022-10-06T15:04:31.26" personId="{19989422-C3B1-4B89-8F45-A028D13F0978}" id="{4760350E-DBA1-47A6-B515-EDADD230EB23}">
    <text>https://www.ingenierosindustriales.com/calculo-del-caudal-de-agua-en-instalaciones-de-calefaccion-o-climatizacion/</text>
    <extLst>
      <x:ext xmlns:xltc2="http://schemas.microsoft.com/office/spreadsheetml/2020/threadedcomments2" uri="{F7C98A9C-CBB3-438F-8F68-D28B6AF4A901}">
        <xltc2:checksum>3744560398</xltc2:checksum>
        <xltc2:hyperlink startIndex="0" length="114" url="https://www.ingenierosindustriales.com/calculo-del-caudal-de-agua-en-instalaciones-de-calefaccion-o-climatizacion/"/>
      </x:ext>
    </extLst>
  </threadedComment>
  <threadedComment ref="D142" dT="2022-10-26T09:32:45.71" personId="{1EC50636-2887-49B2-AA6F-99508F7D9405}" id="{2A698B21-E82C-4149-9099-B6104F0F4768}">
    <text>Dato de Grabriel (memoria Greenfarm)</text>
  </threadedComment>
  <threadedComment ref="K174" dT="2022-11-08T15:51:29.30" personId="{19989422-C3B1-4B89-8F45-A028D13F0978}" id="{EB1BA3E5-7F17-4860-AE2A-94481D20F93F}">
    <text>Fertiberia 
https://fercampo.com/catalogo-de-productos/nutricion-vegetal/fertilizantes-liquidos/</text>
    <extLst>
      <x:ext xmlns:xltc2="http://schemas.microsoft.com/office/spreadsheetml/2020/threadedcomments2" uri="{F7C98A9C-CBB3-438F-8F68-D28B6AF4A901}">
        <xltc2:checksum>3603582145</xltc2:checksum>
        <xltc2:hyperlink startIndex="13" length="84" url="https://fercampo.com/catalogo-de-productos/nutricion-vegetal/fertilizantes-liquidos/"/>
      </x:ext>
    </extLst>
  </threadedComment>
  <threadedComment ref="M176" dT="2022-11-08T15:36:42.97" personId="{19989422-C3B1-4B89-8F45-A028D13F0978}" id="{740FF312-68C4-4540-90EF-AB41A81DC256}">
    <text>https://www.fertiberia.com/es/agricultura/productos/categorias/foliar/especiales/energrow-green-mo/</text>
    <extLst>
      <x:ext xmlns:xltc2="http://schemas.microsoft.com/office/spreadsheetml/2020/threadedcomments2" uri="{F7C98A9C-CBB3-438F-8F68-D28B6AF4A901}">
        <xltc2:checksum>988874796</xltc2:checksum>
        <xltc2:hyperlink startIndex="0" length="99" url="https://www.fertiberia.com/es/agricultura/productos/categorias/foliar/especiales/energrow-green-mo/"/>
      </x:ext>
    </extLst>
  </threadedComment>
  <threadedComment ref="O176" dT="2022-11-08T15:47:12.51" personId="{19989422-C3B1-4B89-8F45-A028D13F0978}" id="{F8E704C5-B4C6-4731-82E6-DE5D1A941485}">
    <text>https://www.fertiberia.com/es/agricultura/productos/categorias/foliar/complejos/glugel-12-24-12/</text>
    <extLst>
      <x:ext xmlns:xltc2="http://schemas.microsoft.com/office/spreadsheetml/2020/threadedcomments2" uri="{F7C98A9C-CBB3-438F-8F68-D28B6AF4A901}">
        <xltc2:checksum>1718153243</xltc2:checksum>
        <xltc2:hyperlink startIndex="0" length="96" url="https://www.fertiberia.com/es/agricultura/productos/categorias/foliar/complejos/glugel-12-24-12/"/>
      </x:ext>
    </extLst>
  </threadedComment>
  <threadedComment ref="Q176" dT="2022-11-08T15:53:48.66" personId="{19989422-C3B1-4B89-8F45-A028D13F0978}" id="{78BFF717-9C5F-4BFA-9BD4-A8245F8F7467}">
    <text>https://fercampo.com/catalogo-de-productos/nutricion-vegetal/fertilizantes-liquidos/</text>
    <extLst>
      <x:ext xmlns:xltc2="http://schemas.microsoft.com/office/spreadsheetml/2020/threadedcomments2" uri="{F7C98A9C-CBB3-438F-8F68-D28B6AF4A901}">
        <xltc2:checksum>1891551722</xltc2:checksum>
        <xltc2:hyperlink startIndex="0" length="84" url="https://fercampo.com/catalogo-de-productos/nutricion-vegetal/fertilizantes-liquidos/"/>
      </x:ext>
    </extLst>
  </threadedComment>
  <threadedComment ref="M180" dT="2022-11-08T15:37:40.34" personId="{19989422-C3B1-4B89-8F45-A028D13F0978}" id="{8A426662-C026-4E7C-B06D-DEB036DA6972}">
    <text>Al año</text>
  </threadedComment>
  <threadedComment ref="O180" dT="2022-11-08T15:47:59.99" personId="{19989422-C3B1-4B89-8F45-A028D13F0978}" id="{F6C1A30E-2D19-4A0D-89ED-236C662D0842}">
    <text>Al mes son 5L/ha</text>
  </threadedComment>
  <threadedComment ref="Q180" dT="2022-11-08T15:47:59.99" personId="{19989422-C3B1-4B89-8F45-A028D13F0978}" id="{62E903F1-A4D4-4EFD-8302-66A221FD86DC}">
    <text>Al mes son 5L/ha</text>
  </threadedComment>
  <threadedComment ref="D220" dT="2022-12-05T18:29:29.25" personId="{19989422-C3B1-4B89-8F45-A028D13F0978}" id="{E44C3FAA-2EAD-48BC-AD66-3753ACCEEC62}">
    <text>Altura depósito purin = 3m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" dT="2023-03-02T11:02:50.70" personId="{19989422-C3B1-4B89-8F45-A028D13F0978}" id="{C632821D-AB02-4993-9738-FE0C879F2019}">
    <text>GFRP (glass fiber reinforced polymer)
Abreviatura de https://www.sciencedirect.com/science/article/pii/S2092678222000280</text>
    <extLst>
      <x:ext xmlns:xltc2="http://schemas.microsoft.com/office/spreadsheetml/2020/threadedcomments2" uri="{F7C98A9C-CBB3-438F-8F68-D28B6AF4A901}">
        <xltc2:checksum>589456417</xltc2:checksum>
        <xltc2:hyperlink startIndex="54" length="67" url="https://www.sciencedirect.com/science/article/pii/S2092678222000280"/>
      </x:ext>
    </extLst>
  </threadedComment>
  <threadedComment ref="N6" dT="2023-03-31T09:06:14.40" personId="{19989422-C3B1-4B89-8F45-A028D13F0978}" id="{7B3FB2C6-6AD5-40A8-BC53-33F91FAB49AB}">
    <text>Media entre escenario 1 y 2</text>
  </threadedComment>
  <threadedComment ref="B13" dT="2023-03-22T10:56:19.75" personId="{19989422-C3B1-4B89-8F45-A028D13F0978}" id="{E0FAB1CC-21C0-41DF-B420-BCB09C5A5744}">
    <text>Low density polyethylene resin, at plant/RNA</text>
  </threadedComment>
  <threadedComment ref="S36" dT="2023-03-20T11:32:08.41" personId="{19989422-C3B1-4B89-8F45-A028D13F0978}" id="{8AD1A69F-1C13-423F-81F6-0A3C9BE6334B}">
    <text>Flujo total de producto (no tiene en cuenta la ha)</text>
  </threadedComment>
  <threadedComment ref="E38" dT="2023-03-22T09:09:11.12" personId="{19989422-C3B1-4B89-8F45-A028D13F0978}" id="{866FA97F-DA7A-45E0-9335-B089B1118633}">
    <text>Página 35</text>
  </threadedComment>
  <threadedComment ref="E58" dT="2023-03-22T09:09:11.12" personId="{19989422-C3B1-4B89-8F45-A028D13F0978}" id="{0693E2F3-76E5-4FF9-B56B-4837BA8FB3BD}">
    <text>Página 35</text>
  </threadedComment>
  <threadedComment ref="E72" dT="2023-03-22T09:09:11.12" personId="{19989422-C3B1-4B89-8F45-A028D13F0978}" id="{4F7F6E43-399F-4290-8FDC-172EBA54921A}">
    <text>Página 35</text>
  </threadedComment>
  <threadedComment ref="O72" dT="2023-03-22T09:09:11.12" personId="{19989422-C3B1-4B89-8F45-A028D13F0978}" id="{DF6FB86F-6595-4C08-A337-05B466E18EE0}">
    <text>Página 35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4" dT="2022-10-10T17:02:21.52" personId="{19989422-C3B1-4B89-8F45-A028D13F0978}" id="{5E312466-4F96-4695-A136-7D3A5B3F2464}">
    <text>Mismas concentraciones que Q7 y Q8</text>
  </threadedComment>
  <threadedComment ref="I14" dT="2022-10-10T16:21:30.04" personId="{19989422-C3B1-4B89-8F45-A028D13F0978}" id="{2D0BB85F-2FE3-46BE-9A81-6DE58E7A0F22}">
    <text>Concentraciones igual que la purga (para sacar los flujos másicos)</text>
  </threadedComment>
  <threadedComment ref="N15" dT="2022-10-11T09:54:32.57" personId="{1EC50636-2887-49B2-AA6F-99508F7D9405}" id="{9CCD06D8-FE52-492F-B836-F55ABCD4ACD4}">
    <text>Se ha añadido acetona</text>
  </threadedComment>
  <threadedComment ref="B29" dT="2023-03-14T11:33:28.00" personId="{19989422-C3B1-4B89-8F45-A028D13F0978}" id="{71BE5242-88D7-4929-B18F-455008B54FFE}">
    <text>Bloque nombrado en SimaPro "Microalgae cultivation Q6"</text>
  </threadedComment>
  <threadedComment ref="E35" dT="2023-04-12T11:01:42.69" personId="{19989422-C3B1-4B89-8F45-A028D13F0978}" id="{3C603564-E5BC-4D75-AAA0-8CC3038AC443}">
    <text>Es casi igual que el flue, además la base de datos es con waste gases</text>
  </threadedComment>
  <threadedComment ref="C40" dT="2023-03-14T11:28:52.95" personId="{19989422-C3B1-4B89-8F45-A028D13F0978}" id="{F76B6298-DE62-4173-975C-D60A523ED88F}">
    <text>No hace falta meterlo, está incluido dentro del flujo Q6</text>
  </threadedComment>
  <threadedComment ref="B41" dT="2023-03-07T13:55:02.26" personId="{19989422-C3B1-4B89-8F45-A028D13F0978}" id="{82AD714C-6171-4704-97D9-EA77A75C4312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C43" dT="2023-03-29T09:59:38.82" personId="{19989422-C3B1-4B89-8F45-A028D13F0978}" id="{E2488734-4C3C-4A0C-92DD-8B884819156D}">
    <text>Venancio 2020, eficacia de fijación de CO2 = 62%</text>
  </threadedComment>
  <threadedComment ref="B45" dT="2023-03-03T13:50:41.77" personId="{19989422-C3B1-4B89-8F45-A028D13F0978}" id="{875586DE-3AC8-40A4-809E-73AC87B9C924}">
    <text>https://www.sciencedirect.com/science/article/pii/S0921344922004116#sec0002
Silva 2022 "In the cultivation stage, total N, total P, and water avoided due to the use of effluent as a cultivation medium were considered".
Nutrientes no emitidos al medioambiente (tabla 3)</text>
    <extLst>
      <x:ext xmlns:xltc2="http://schemas.microsoft.com/office/spreadsheetml/2020/threadedcomments2" uri="{F7C98A9C-CBB3-438F-8F68-D28B6AF4A901}">
        <xltc2:checksum>2036139950</xltc2:checksum>
        <xltc2:hyperlink startIndex="0" length="75" url="https://www.sciencedirect.com/science/article/pii/S0921344922004116#sec0002"/>
      </x:ext>
    </extLst>
  </threadedComment>
  <threadedComment ref="B57" dT="2023-03-14T11:33:50.26" personId="{19989422-C3B1-4B89-8F45-A028D13F0978}" id="{7B247FE2-5FDD-4F4C-9E39-C05AFB4695E8}">
    <text>Bloque nombrado en SimaPro "Biomass Harvesting Q9"</text>
  </threadedComment>
  <threadedComment ref="B64" dT="2023-03-14T11:35:47.35" personId="{19989422-C3B1-4B89-8F45-A028D13F0978}" id="{FE793817-E118-4E17-B810-F0377E532FEA}">
    <text>Emisión evitada</text>
  </threadedComment>
  <threadedComment ref="B67" dT="2023-03-14T12:09:38.56" personId="{19989422-C3B1-4B89-8F45-A028D13F0978}" id="{94BEC9D3-18CF-45F7-9196-3DEF2895C060}">
    <text>Bloque nombrado en SimaPro "US pretreatment (Q10)"</text>
  </threadedComment>
  <threadedComment ref="B76" dT="2023-03-14T12:09:38.56" personId="{19989422-C3B1-4B89-8F45-A028D13F0978}" id="{6145785F-DF89-47BC-AB53-5E8E187C22DA}">
    <text>Bloque nombrado en SimaPro "US pretreatment (Q10)"</text>
  </threadedComment>
  <threadedComment ref="B91" dT="2023-03-14T11:33:50.26" personId="{19989422-C3B1-4B89-8F45-A028D13F0978}" id="{5CE0FCBC-A552-491A-9639-5D23D34BBEBD}">
    <text>Bloque nombrado en SimaPro "Biomass Harvesting Q9"</text>
  </threadedComment>
  <threadedComment ref="N97" dT="2023-04-12T10:38:23.15" personId="{19989422-C3B1-4B89-8F45-A028D13F0978}" id="{975F4C73-D39F-46E6-8009-178DD5FF3300}">
    <text>https://onlinelibrary.wiley.com/doi/full/10.1111/j.1530-9290.2011.00434.x</text>
    <extLst>
      <x:ext xmlns:xltc2="http://schemas.microsoft.com/office/spreadsheetml/2020/threadedcomments2" uri="{F7C98A9C-CBB3-438F-8F68-D28B6AF4A901}">
        <xltc2:checksum>137749774</xltc2:checksum>
        <xltc2:hyperlink startIndex="0" length="73" url="https://onlinelibrary.wiley.com/doi/full/10.1111/j.1530-9290.2011.00434.x"/>
      </x:ext>
    </extLst>
  </threadedComment>
  <threadedComment ref="B98" dT="2023-03-14T11:35:47.35" personId="{19989422-C3B1-4B89-8F45-A028D13F0978}" id="{F9BACEB8-5E87-439C-8DC9-DF6452708B82}">
    <text>Emisión evitada</text>
  </threadedComment>
  <threadedComment ref="B101" dT="2023-03-14T12:10:00.79" personId="{19989422-C3B1-4B89-8F45-A028D13F0978}" id="{D844D2B0-365A-4BD6-BF87-31DAC9E1BDBB}">
    <text>Bloque nombrado en SimaPro "Biostimulant production (Q11)"</text>
  </threadedComment>
  <threadedComment ref="B108" dT="2023-03-15T09:06:51.40" personId="{19989422-C3B1-4B89-8F45-A028D13F0978}" id="{07DF28AD-D030-4CFB-BCD7-0FC9D2B3DB91}">
    <text>Basado en Pechrisi 2023, coger de la base de datos de EcoInvent la alpha-amilasa</text>
  </threadedComment>
  <threadedComment ref="B109" dT="2023-03-15T09:28:34.24" personId="{19989422-C3B1-4B89-8F45-A028D13F0978}" id="{76AF9083-5F5E-482A-B5CE-4D3ABB2ABF0A}">
    <text>Basado en Pechrisi 2023</text>
  </threadedComment>
  <threadedComment ref="B112" dT="2023-03-03T13:50:41.77" personId="{19989422-C3B1-4B89-8F45-A028D13F0978}" id="{3AAD9005-11B5-4E87-B820-1AE2508D001B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  <threadedComment ref="B146" dT="2023-03-07T13:55:02.26" personId="{19989422-C3B1-4B89-8F45-A028D13F0978}" id="{5EAF4563-8FB3-409F-AFEF-0440CECBD43E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B152" dT="2023-03-03T13:50:41.77" personId="{19989422-C3B1-4B89-8F45-A028D13F0978}" id="{4E1088E7-8428-439E-A87B-A0BA4578FABD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ww.sciencedirect.com/science/article/pii/S0960852419313744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blogs.worldbank.org/opendata/fertilizer-prices-expected-remain-higher-longer" TargetMode="External"/><Relationship Id="rId1" Type="http://schemas.openxmlformats.org/officeDocument/2006/relationships/hyperlink" Target="https://www.youtube.com/watch?v=iYtwmPxySN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.springer.com/article/10.1065/lca2004.10.181.10" TargetMode="External"/><Relationship Id="rId13" Type="http://schemas.microsoft.com/office/2017/10/relationships/threadedComment" Target="../threadedComments/threadedComment2.xml"/><Relationship Id="rId3" Type="http://schemas.openxmlformats.org/officeDocument/2006/relationships/hyperlink" Target="https://www.mdpi.com/2079-7737/11/8/1176" TargetMode="External"/><Relationship Id="rId7" Type="http://schemas.openxmlformats.org/officeDocument/2006/relationships/hyperlink" Target="https://www.sciencedirect.com/science/article/pii/S2352186422000748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s://www.sciencedirect.com/science/article/pii/B9780081022283000074" TargetMode="External"/><Relationship Id="rId1" Type="http://schemas.openxmlformats.org/officeDocument/2006/relationships/hyperlink" Target="https://www.mdpi.com/2076-3417/10/15/5130" TargetMode="External"/><Relationship Id="rId6" Type="http://schemas.openxmlformats.org/officeDocument/2006/relationships/hyperlink" Target="https://www.sciencedirect.com/science/article/pii/S2211926415300898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www.mdpi.com/2079-7737/11/8/1176" TargetMode="External"/><Relationship Id="rId10" Type="http://schemas.openxmlformats.org/officeDocument/2006/relationships/hyperlink" Target="https://www.mdpi.com/2304-8158/11/19/3053" TargetMode="External"/><Relationship Id="rId4" Type="http://schemas.openxmlformats.org/officeDocument/2006/relationships/hyperlink" Target="https://www.mdpi.com/2079-7737/11/8/1176" TargetMode="External"/><Relationship Id="rId9" Type="http://schemas.openxmlformats.org/officeDocument/2006/relationships/hyperlink" Target="https://www.mdpi.com/2304-8158/11/19/30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9216-2B0A-4627-80C1-E001D68421BF}">
  <dimension ref="A3:AG248"/>
  <sheetViews>
    <sheetView topLeftCell="A170" zoomScale="60" zoomScaleNormal="60" workbookViewId="0">
      <selection activeCell="I184" sqref="I184:I190"/>
    </sheetView>
  </sheetViews>
  <sheetFormatPr baseColWidth="10" defaultRowHeight="14.5" x14ac:dyDescent="0.35"/>
  <cols>
    <col min="2" max="2" width="25.453125" customWidth="1"/>
    <col min="3" max="3" width="15.54296875" bestFit="1" customWidth="1"/>
    <col min="4" max="6" width="14.54296875" bestFit="1" customWidth="1"/>
    <col min="7" max="7" width="14.453125" bestFit="1" customWidth="1"/>
    <col min="8" max="8" width="22.81640625" bestFit="1" customWidth="1"/>
    <col min="9" max="9" width="18.54296875" bestFit="1" customWidth="1"/>
    <col min="10" max="10" width="50.81640625" customWidth="1"/>
    <col min="11" max="11" width="15.453125" bestFit="1" customWidth="1"/>
    <col min="12" max="12" width="18.54296875" customWidth="1"/>
    <col min="13" max="13" width="16.54296875" bestFit="1" customWidth="1"/>
    <col min="14" max="14" width="18.7265625" bestFit="1" customWidth="1"/>
    <col min="15" max="15" width="18" bestFit="1" customWidth="1"/>
    <col min="16" max="16" width="17" customWidth="1"/>
    <col min="17" max="17" width="15" bestFit="1" customWidth="1"/>
    <col min="18" max="18" width="15" customWidth="1"/>
    <col min="19" max="19" width="16" bestFit="1" customWidth="1"/>
    <col min="20" max="20" width="20.54296875" bestFit="1" customWidth="1"/>
    <col min="21" max="21" width="20.81640625" bestFit="1" customWidth="1"/>
    <col min="22" max="22" width="15.54296875" bestFit="1" customWidth="1"/>
    <col min="24" max="24" width="18.54296875" bestFit="1" customWidth="1"/>
    <col min="29" max="29" width="16.7265625" bestFit="1" customWidth="1"/>
    <col min="30" max="30" width="25.81640625" bestFit="1" customWidth="1"/>
  </cols>
  <sheetData>
    <row r="3" spans="1:33" ht="20" thickBot="1" x14ac:dyDescent="0.5">
      <c r="U3" s="252" t="s">
        <v>0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</row>
    <row r="4" spans="1:33" ht="15" thickTop="1" x14ac:dyDescent="0.35"/>
    <row r="5" spans="1:33" x14ac:dyDescent="0.35">
      <c r="N5" s="240" t="s">
        <v>1</v>
      </c>
      <c r="O5" s="240"/>
      <c r="V5" s="255" t="s">
        <v>2</v>
      </c>
      <c r="W5" s="255"/>
      <c r="X5" s="255"/>
      <c r="Y5" s="255" t="s">
        <v>3</v>
      </c>
      <c r="Z5" s="255"/>
      <c r="AA5" s="255"/>
      <c r="AB5" s="255" t="s">
        <v>4</v>
      </c>
      <c r="AC5" s="255"/>
      <c r="AD5" s="255"/>
      <c r="AF5" s="2">
        <f>(Y8/V8)</f>
        <v>0.94078866880974465</v>
      </c>
    </row>
    <row r="6" spans="1:33" x14ac:dyDescent="0.35">
      <c r="A6" t="s">
        <v>49</v>
      </c>
      <c r="B6">
        <f>O28*365</f>
        <v>12463.512016666666</v>
      </c>
      <c r="K6" s="3"/>
      <c r="N6" s="4" t="s">
        <v>5</v>
      </c>
      <c r="O6" s="5">
        <v>71.7</v>
      </c>
      <c r="V6" s="6" t="s">
        <v>6</v>
      </c>
      <c r="W6" s="6" t="s">
        <v>7</v>
      </c>
      <c r="X6" s="6" t="s">
        <v>8</v>
      </c>
      <c r="Y6" s="6" t="s">
        <v>6</v>
      </c>
      <c r="Z6" s="6" t="s">
        <v>7</v>
      </c>
      <c r="AA6" s="6" t="s">
        <v>9</v>
      </c>
      <c r="AB6" s="6" t="s">
        <v>6</v>
      </c>
      <c r="AC6" s="6" t="s">
        <v>7</v>
      </c>
      <c r="AD6" s="6" t="s">
        <v>10</v>
      </c>
    </row>
    <row r="7" spans="1:33" x14ac:dyDescent="0.35">
      <c r="A7" t="s">
        <v>51</v>
      </c>
      <c r="B7">
        <f>R28*365</f>
        <v>7029.549322787786</v>
      </c>
      <c r="N7" s="4" t="s">
        <v>11</v>
      </c>
      <c r="O7" s="5">
        <v>42.3</v>
      </c>
      <c r="T7" s="2">
        <f>(Y7/V7)</f>
        <v>0.80702719369853249</v>
      </c>
      <c r="U7" s="7" t="s">
        <v>12</v>
      </c>
      <c r="V7" s="8">
        <f>P30</f>
        <v>9636.5962065620279</v>
      </c>
      <c r="W7" s="8">
        <f>V7/18</f>
        <v>535.36645592011268</v>
      </c>
      <c r="X7" s="8">
        <f>W7/W9</f>
        <v>0.85819793205317574</v>
      </c>
      <c r="Y7" s="8">
        <f>Z7*18</f>
        <v>7776.9951933876773</v>
      </c>
      <c r="Z7" s="8">
        <f>$Z$9*AA7</f>
        <v>432.05528852153765</v>
      </c>
      <c r="AA7" s="8">
        <f>AD7*AD18</f>
        <v>0.83849077973704578</v>
      </c>
      <c r="AB7" s="8">
        <f>AC7*18</f>
        <v>1859.6010131743501</v>
      </c>
      <c r="AC7" s="8">
        <f>$AC$9*AD7</f>
        <v>103.31116739857501</v>
      </c>
      <c r="AD7" s="8">
        <f>X7/(1+$Y$17*(AD18-1))</f>
        <v>0.95174692594218169</v>
      </c>
    </row>
    <row r="8" spans="1:33" x14ac:dyDescent="0.35">
      <c r="A8" t="s">
        <v>53</v>
      </c>
      <c r="B8">
        <f>T28*365</f>
        <v>789.83033070449346</v>
      </c>
      <c r="N8" s="4" t="s">
        <v>13</v>
      </c>
      <c r="O8" s="5">
        <v>33.4</v>
      </c>
      <c r="S8" s="9"/>
      <c r="T8" s="2">
        <f t="shared" ref="T8:T9" si="0">(Y8/V8)</f>
        <v>0.94078866880974465</v>
      </c>
      <c r="U8" s="7" t="s">
        <v>14</v>
      </c>
      <c r="V8" s="8">
        <f>P31</f>
        <v>5139.5179768330809</v>
      </c>
      <c r="W8" s="8">
        <f>V8/58.1</f>
        <v>88.459861907626177</v>
      </c>
      <c r="X8" s="8">
        <f>W8/W9</f>
        <v>0.14180206794682421</v>
      </c>
      <c r="Y8" s="8">
        <f>Z8*58.1</f>
        <v>4835.2002757485461</v>
      </c>
      <c r="Z8" s="8">
        <f>$Z$9*AA8</f>
        <v>83.22203572716947</v>
      </c>
      <c r="AA8" s="8">
        <f>AD8*AD19</f>
        <v>0.16150921301522289</v>
      </c>
      <c r="AB8" s="8">
        <f>AC8*58.1</f>
        <v>304.31770108453622</v>
      </c>
      <c r="AC8" s="8">
        <f>$AC$9*AD8</f>
        <v>5.2378261804567332</v>
      </c>
      <c r="AD8" s="8">
        <f>X8/(1+$Y$17*(AD19-1))</f>
        <v>4.8253108462482978E-2</v>
      </c>
    </row>
    <row r="9" spans="1:33" x14ac:dyDescent="0.35">
      <c r="S9" s="9"/>
      <c r="T9" s="2">
        <f t="shared" si="0"/>
        <v>0.8423416335742917</v>
      </c>
      <c r="U9" s="7" t="s">
        <v>15</v>
      </c>
      <c r="V9" s="8">
        <f>P29</f>
        <v>14972.779412100457</v>
      </c>
      <c r="W9" s="8">
        <f>W7+W8</f>
        <v>623.82631782773888</v>
      </c>
      <c r="X9" s="8">
        <f>X7+X8</f>
        <v>1</v>
      </c>
      <c r="Y9" s="8">
        <f>Y7+Y8</f>
        <v>12612.195469136223</v>
      </c>
      <c r="Z9" s="8">
        <f>W9*Y17</f>
        <v>515.27732798329873</v>
      </c>
      <c r="AA9" s="8">
        <f>SUM(AA7:AA8)</f>
        <v>0.9999999927522687</v>
      </c>
      <c r="AB9" s="8">
        <f>AB7+AB8</f>
        <v>2163.9187142588862</v>
      </c>
      <c r="AC9" s="8">
        <f>W9-Z9</f>
        <v>108.54898984444014</v>
      </c>
      <c r="AD9" s="8">
        <f>AD7+AD8</f>
        <v>1.0000000344046647</v>
      </c>
    </row>
    <row r="10" spans="1:33" x14ac:dyDescent="0.35">
      <c r="N10" s="240" t="s">
        <v>16</v>
      </c>
      <c r="O10" s="240"/>
      <c r="S10" s="9"/>
      <c r="T10" s="10"/>
    </row>
    <row r="11" spans="1:33" x14ac:dyDescent="0.35">
      <c r="N11" s="4" t="s">
        <v>5</v>
      </c>
      <c r="O11" s="5">
        <v>50</v>
      </c>
      <c r="Y11" s="11"/>
      <c r="AB11" s="255" t="s">
        <v>17</v>
      </c>
      <c r="AC11" s="255"/>
      <c r="AD11" s="255"/>
      <c r="AG11" s="1" t="s">
        <v>18</v>
      </c>
    </row>
    <row r="12" spans="1:33" x14ac:dyDescent="0.35">
      <c r="N12" s="4" t="s">
        <v>11</v>
      </c>
      <c r="O12" s="5">
        <v>50</v>
      </c>
      <c r="AB12" s="6" t="s">
        <v>19</v>
      </c>
      <c r="AC12" s="6" t="s">
        <v>20</v>
      </c>
      <c r="AD12" s="6" t="s">
        <v>21</v>
      </c>
      <c r="AG12" s="5" t="s">
        <v>22</v>
      </c>
    </row>
    <row r="13" spans="1:33" x14ac:dyDescent="0.35">
      <c r="N13" s="4" t="s">
        <v>13</v>
      </c>
      <c r="O13" s="5">
        <v>50</v>
      </c>
      <c r="AA13" s="12" t="s">
        <v>12</v>
      </c>
      <c r="AB13" s="5">
        <v>8.0713000000000008</v>
      </c>
      <c r="AC13" s="5">
        <v>1730.63</v>
      </c>
      <c r="AD13" s="5">
        <v>233.42599999999999</v>
      </c>
      <c r="AF13" s="12" t="s">
        <v>12</v>
      </c>
      <c r="AG13" s="13">
        <f>X7*(1-AD18)/(1+$Y$17*(AD18-1))</f>
        <v>0.11325614620513588</v>
      </c>
    </row>
    <row r="14" spans="1:33" x14ac:dyDescent="0.35">
      <c r="N14" s="4" t="s">
        <v>23</v>
      </c>
      <c r="O14" s="5">
        <v>10</v>
      </c>
      <c r="P14" s="14" t="s">
        <v>24</v>
      </c>
      <c r="S14" s="11"/>
      <c r="X14" s="15" t="s">
        <v>25</v>
      </c>
      <c r="Y14" s="15" t="s">
        <v>26</v>
      </c>
      <c r="AA14" s="12" t="s">
        <v>14</v>
      </c>
      <c r="AB14" s="5">
        <v>7.1170999999999998</v>
      </c>
      <c r="AC14" s="5">
        <v>1210.595</v>
      </c>
      <c r="AD14" s="5">
        <v>229.66399999999999</v>
      </c>
      <c r="AF14" s="12" t="s">
        <v>14</v>
      </c>
      <c r="AG14" s="13">
        <f>X8*(1-AD19)/(1+$Y$17*(AD19-1))</f>
        <v>-0.11325610455273989</v>
      </c>
    </row>
    <row r="15" spans="1:33" x14ac:dyDescent="0.35">
      <c r="X15" s="5">
        <v>96.5</v>
      </c>
      <c r="Y15" s="5">
        <v>1</v>
      </c>
      <c r="AG15" s="16">
        <f>SUM(AG13:AG14)</f>
        <v>4.1652395990632307E-8</v>
      </c>
    </row>
    <row r="16" spans="1:33" x14ac:dyDescent="0.35">
      <c r="AB16" s="255" t="s">
        <v>27</v>
      </c>
      <c r="AC16" s="255"/>
      <c r="AD16" s="255"/>
    </row>
    <row r="17" spans="2:30" x14ac:dyDescent="0.35">
      <c r="X17" s="17" t="s">
        <v>28</v>
      </c>
      <c r="Y17" s="8">
        <v>0.82599485346750878</v>
      </c>
      <c r="AB17" s="6" t="s">
        <v>29</v>
      </c>
      <c r="AC17" s="6" t="s">
        <v>30</v>
      </c>
      <c r="AD17" s="6" t="s">
        <v>31</v>
      </c>
    </row>
    <row r="18" spans="2:30" x14ac:dyDescent="0.35">
      <c r="AA18" s="12" t="s">
        <v>32</v>
      </c>
      <c r="AB18" s="8">
        <f>10^(AB13-(AC13/($X$15+AD13)))</f>
        <v>669.56138783354231</v>
      </c>
      <c r="AC18" s="18" t="s">
        <v>33</v>
      </c>
      <c r="AD18" s="18">
        <f>AB18/($Y$15*760)</f>
        <v>0.88100182609676625</v>
      </c>
    </row>
    <row r="19" spans="2:30" x14ac:dyDescent="0.35">
      <c r="AA19" s="12" t="s">
        <v>14</v>
      </c>
      <c r="AB19" s="8">
        <f>10^(AB14-(AC14/($X$15+AD14)))</f>
        <v>2543.8154308132453</v>
      </c>
      <c r="AC19" s="18" t="s">
        <v>33</v>
      </c>
      <c r="AD19" s="18">
        <f>AB19/($Y$15*760)</f>
        <v>3.3471255668595332</v>
      </c>
    </row>
    <row r="21" spans="2:30" x14ac:dyDescent="0.35">
      <c r="B21" s="19"/>
      <c r="S21" s="11"/>
    </row>
    <row r="22" spans="2:30" x14ac:dyDescent="0.35">
      <c r="B22" s="19"/>
      <c r="O22" s="8" t="s">
        <v>34</v>
      </c>
      <c r="S22" s="11"/>
      <c r="T22" s="5" t="s">
        <v>35</v>
      </c>
      <c r="AA22" s="20" t="s">
        <v>36</v>
      </c>
    </row>
    <row r="23" spans="2:30" x14ac:dyDescent="0.35">
      <c r="B23" s="19"/>
      <c r="O23" s="21">
        <f>O29/O30</f>
        <v>1.5537414965986396</v>
      </c>
      <c r="P23" s="11"/>
      <c r="Q23" s="11"/>
      <c r="T23" s="22">
        <f>(T38/T29)</f>
        <v>4.7390789268818559E-3</v>
      </c>
      <c r="AA23" t="s">
        <v>37</v>
      </c>
    </row>
    <row r="24" spans="2:30" x14ac:dyDescent="0.35">
      <c r="B24" s="11"/>
      <c r="M24" s="11"/>
      <c r="N24" s="11"/>
      <c r="O24" s="21">
        <f>O29/O31</f>
        <v>2.9132653061224492</v>
      </c>
      <c r="P24" s="11"/>
      <c r="Q24" s="11"/>
      <c r="T24" s="23">
        <f>(T31/T29)</f>
        <v>0.14063268600584244</v>
      </c>
    </row>
    <row r="26" spans="2:30" x14ac:dyDescent="0.35">
      <c r="D26" s="24" t="s">
        <v>38</v>
      </c>
      <c r="E26" s="24" t="s">
        <v>39</v>
      </c>
      <c r="F26" s="24" t="s">
        <v>40</v>
      </c>
      <c r="G26" s="24" t="s">
        <v>41</v>
      </c>
      <c r="H26" s="24" t="s">
        <v>42</v>
      </c>
      <c r="I26" s="24" t="s">
        <v>43</v>
      </c>
      <c r="J26" s="24" t="s">
        <v>44</v>
      </c>
      <c r="K26" s="24" t="s">
        <v>45</v>
      </c>
      <c r="L26" s="24" t="s">
        <v>46</v>
      </c>
      <c r="M26" s="24" t="s">
        <v>47</v>
      </c>
      <c r="N26" s="24" t="s">
        <v>48</v>
      </c>
      <c r="O26" s="24" t="s">
        <v>49</v>
      </c>
      <c r="P26" s="24" t="s">
        <v>2</v>
      </c>
      <c r="Q26" s="24" t="s">
        <v>50</v>
      </c>
      <c r="R26" s="24" t="s">
        <v>51</v>
      </c>
      <c r="S26" s="24" t="s">
        <v>52</v>
      </c>
      <c r="T26" s="24" t="s">
        <v>53</v>
      </c>
      <c r="X26" s="257" t="s">
        <v>54</v>
      </c>
      <c r="Y26" s="258"/>
      <c r="Z26" s="259"/>
      <c r="AB26" s="257" t="s">
        <v>55</v>
      </c>
      <c r="AC26" s="258"/>
      <c r="AD26" s="259"/>
    </row>
    <row r="27" spans="2:30" x14ac:dyDescent="0.35"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60</v>
      </c>
      <c r="I27" s="25" t="s">
        <v>61</v>
      </c>
      <c r="J27" s="26" t="s">
        <v>62</v>
      </c>
      <c r="K27" s="25" t="s">
        <v>63</v>
      </c>
      <c r="L27" s="25" t="s">
        <v>64</v>
      </c>
      <c r="M27" s="25" t="s">
        <v>65</v>
      </c>
      <c r="N27" s="25" t="s">
        <v>14</v>
      </c>
      <c r="O27" s="26" t="s">
        <v>66</v>
      </c>
      <c r="P27" s="26" t="s">
        <v>67</v>
      </c>
      <c r="Q27" s="26" t="s">
        <v>68</v>
      </c>
      <c r="R27" s="26" t="s">
        <v>69</v>
      </c>
      <c r="S27" s="26" t="s">
        <v>70</v>
      </c>
      <c r="T27" s="26" t="s">
        <v>71</v>
      </c>
      <c r="X27" s="27" t="s">
        <v>72</v>
      </c>
      <c r="Y27" s="28">
        <v>8400</v>
      </c>
      <c r="Z27" s="28" t="s">
        <v>73</v>
      </c>
      <c r="AB27" s="27" t="s">
        <v>21</v>
      </c>
      <c r="AC27" s="28">
        <v>37.86</v>
      </c>
      <c r="AD27" s="28" t="s">
        <v>74</v>
      </c>
    </row>
    <row r="28" spans="2:30" ht="16.5" x14ac:dyDescent="0.35">
      <c r="B28" s="256" t="s">
        <v>75</v>
      </c>
      <c r="C28" s="29" t="s">
        <v>76</v>
      </c>
      <c r="D28" s="30">
        <f>Y32</f>
        <v>37.76931506849315</v>
      </c>
      <c r="E28" s="30">
        <f>G28-(F28+D28)</f>
        <v>221.89472602739724</v>
      </c>
      <c r="F28" s="30">
        <f>I28*(Y36/100)</f>
        <v>118.02910958904108</v>
      </c>
      <c r="G28" s="30">
        <f>D28*Y35</f>
        <v>377.69315068493148</v>
      </c>
      <c r="H28" s="30">
        <f>(AC35*Y39)/1000</f>
        <v>141.63493150684931</v>
      </c>
      <c r="I28" s="30">
        <f>G28-H28</f>
        <v>236.05821917808217</v>
      </c>
      <c r="J28" s="30">
        <f>I28-L28</f>
        <v>213.63268835616435</v>
      </c>
      <c r="K28" s="30">
        <f>J28-F28</f>
        <v>95.603578767123267</v>
      </c>
      <c r="L28" s="30">
        <f>(I28*I33*((AC31-AC32)/100))/(AC45*1000)</f>
        <v>22.425530821917803</v>
      </c>
      <c r="M28" s="30">
        <f>L28</f>
        <v>22.425530821917803</v>
      </c>
      <c r="N28" s="30">
        <f>AC50</f>
        <v>14.950353881278538</v>
      </c>
      <c r="O28" s="30">
        <f>O29/1000</f>
        <v>34.146608264840182</v>
      </c>
      <c r="P28" s="30">
        <f>O28-Q28</f>
        <v>14.972779412100458</v>
      </c>
      <c r="Q28" s="30">
        <f>(O28*O33*((AC31-AC32)/100))/(AC45*1000)</f>
        <v>19.173828852739724</v>
      </c>
      <c r="R28" s="30">
        <f>R29/1000</f>
        <v>19.259039240514483</v>
      </c>
      <c r="S28" s="30">
        <f>S29/1000</f>
        <v>12.612195469136223</v>
      </c>
      <c r="T28" s="30">
        <f>T29/1000</f>
        <v>2.163918714258886</v>
      </c>
      <c r="X28" s="27" t="s">
        <v>77</v>
      </c>
      <c r="Y28" s="28">
        <v>14260</v>
      </c>
      <c r="Z28" s="28" t="s">
        <v>73</v>
      </c>
      <c r="AB28" s="27" t="s">
        <v>78</v>
      </c>
      <c r="AC28" s="28">
        <v>4.99</v>
      </c>
      <c r="AD28" s="28" t="s">
        <v>74</v>
      </c>
    </row>
    <row r="29" spans="2:30" s="33" customFormat="1" x14ac:dyDescent="0.35">
      <c r="B29" s="256"/>
      <c r="C29" s="31" t="s">
        <v>6</v>
      </c>
      <c r="D29" s="32">
        <f t="shared" ref="D29:M29" si="1">D28*1000</f>
        <v>37769.315068493146</v>
      </c>
      <c r="E29" s="32">
        <f t="shared" si="1"/>
        <v>221894.72602739724</v>
      </c>
      <c r="F29" s="32">
        <f t="shared" si="1"/>
        <v>118029.10958904108</v>
      </c>
      <c r="G29" s="32">
        <f t="shared" si="1"/>
        <v>377693.15068493149</v>
      </c>
      <c r="H29" s="32">
        <f t="shared" si="1"/>
        <v>141634.9315068493</v>
      </c>
      <c r="I29" s="32">
        <f t="shared" si="1"/>
        <v>236058.21917808216</v>
      </c>
      <c r="J29" s="32">
        <f t="shared" si="1"/>
        <v>213632.68835616435</v>
      </c>
      <c r="K29" s="32">
        <f t="shared" si="1"/>
        <v>95603.578767123268</v>
      </c>
      <c r="L29" s="32">
        <f t="shared" si="1"/>
        <v>22425.530821917804</v>
      </c>
      <c r="M29" s="32">
        <f t="shared" si="1"/>
        <v>22425.530821917804</v>
      </c>
      <c r="N29" s="32">
        <f>N28*AC55</f>
        <v>11721.077442922373</v>
      </c>
      <c r="O29" s="32">
        <f>M29+N29</f>
        <v>34146.608264840179</v>
      </c>
      <c r="P29" s="32">
        <f>P28*1000</f>
        <v>14972.779412100457</v>
      </c>
      <c r="Q29" s="32">
        <f>Q28*1000</f>
        <v>19173.828852739724</v>
      </c>
      <c r="R29" s="32">
        <f>Q29+O69</f>
        <v>19259.039240514481</v>
      </c>
      <c r="S29" s="32">
        <f>Y9</f>
        <v>12612.195469136223</v>
      </c>
      <c r="T29" s="32">
        <f>AB9</f>
        <v>2163.9187142588862</v>
      </c>
      <c r="X29" s="34" t="s">
        <v>79</v>
      </c>
      <c r="Y29" s="31">
        <v>5120</v>
      </c>
      <c r="Z29" s="31" t="s">
        <v>73</v>
      </c>
      <c r="AB29" s="34" t="s">
        <v>80</v>
      </c>
      <c r="AC29" s="31">
        <v>1.03</v>
      </c>
      <c r="AD29" s="31" t="s">
        <v>74</v>
      </c>
    </row>
    <row r="30" spans="2:30" s="33" customFormat="1" x14ac:dyDescent="0.35">
      <c r="B30" s="34" t="s">
        <v>12</v>
      </c>
      <c r="C30" s="35" t="s">
        <v>6</v>
      </c>
      <c r="D30" s="36">
        <f>D29-D34</f>
        <v>37452.052821917801</v>
      </c>
      <c r="E30" s="36">
        <f>E29</f>
        <v>221894.72602739724</v>
      </c>
      <c r="F30" s="36">
        <f>F29-F32</f>
        <v>118029.10958904108</v>
      </c>
      <c r="G30" s="36">
        <f>D30+E30+F30</f>
        <v>377375.88843835611</v>
      </c>
      <c r="H30" s="36">
        <f>H29</f>
        <v>141634.9315068493</v>
      </c>
      <c r="I30" s="36">
        <f>I29-I32</f>
        <v>235586.10273972599</v>
      </c>
      <c r="J30" s="36">
        <f>J29-J32</f>
        <v>213632.68835616435</v>
      </c>
      <c r="K30" s="36">
        <f>K29-K32</f>
        <v>95603.578767123268</v>
      </c>
      <c r="L30" s="36">
        <f>L29-L32</f>
        <v>21977.020205479446</v>
      </c>
      <c r="M30" s="36">
        <f>M29-M32</f>
        <v>21977.020205479446</v>
      </c>
      <c r="N30" s="36">
        <v>0</v>
      </c>
      <c r="O30" s="36">
        <f>M30+N30</f>
        <v>21977.020205479446</v>
      </c>
      <c r="P30" s="36">
        <f>P29/O23</f>
        <v>9636.5962065620279</v>
      </c>
      <c r="Q30" s="36">
        <f>O30-P30</f>
        <v>12340.423998917418</v>
      </c>
      <c r="R30" s="36">
        <f>Q30</f>
        <v>12340.423998917418</v>
      </c>
      <c r="S30" s="36">
        <f>Y7</f>
        <v>7776.9951933876773</v>
      </c>
      <c r="T30" s="36">
        <f>AB7</f>
        <v>1859.6010131743501</v>
      </c>
      <c r="X30" s="34" t="s">
        <v>81</v>
      </c>
      <c r="Y30" s="31">
        <v>3328</v>
      </c>
      <c r="Z30" s="31" t="s">
        <v>73</v>
      </c>
    </row>
    <row r="31" spans="2:30" s="33" customFormat="1" x14ac:dyDescent="0.35">
      <c r="B31" s="34" t="s">
        <v>14</v>
      </c>
      <c r="C31" s="31" t="s">
        <v>6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f>N29</f>
        <v>11721.077442922373</v>
      </c>
      <c r="O31" s="32">
        <f>N31+M31</f>
        <v>11721.077442922373</v>
      </c>
      <c r="P31" s="32">
        <f>P29/O24</f>
        <v>5139.5179768330809</v>
      </c>
      <c r="Q31" s="32">
        <f>O31-P31</f>
        <v>6581.5594660892921</v>
      </c>
      <c r="R31" s="32">
        <f>Q31</f>
        <v>6581.5594660892921</v>
      </c>
      <c r="S31" s="32">
        <f>Y8</f>
        <v>4835.2002757485461</v>
      </c>
      <c r="T31" s="32">
        <f>AB8</f>
        <v>304.31770108453622</v>
      </c>
      <c r="V31" s="37" t="s">
        <v>82</v>
      </c>
      <c r="X31" s="34" t="s">
        <v>83</v>
      </c>
      <c r="Y31" s="31">
        <v>76</v>
      </c>
      <c r="Z31" s="31" t="s">
        <v>73</v>
      </c>
      <c r="AB31" s="34" t="s">
        <v>84</v>
      </c>
      <c r="AC31" s="31">
        <v>100</v>
      </c>
      <c r="AD31" s="31" t="s">
        <v>74</v>
      </c>
    </row>
    <row r="32" spans="2:30" ht="16.5" x14ac:dyDescent="0.35">
      <c r="B32" s="256" t="s">
        <v>85</v>
      </c>
      <c r="C32" s="29" t="s">
        <v>6</v>
      </c>
      <c r="D32" s="30">
        <v>0</v>
      </c>
      <c r="E32" s="30">
        <v>0</v>
      </c>
      <c r="F32" s="30">
        <f>(F28*F33)/1000</f>
        <v>0</v>
      </c>
      <c r="G32" s="30">
        <f>((D28*D32)+(F28*F32)+(E28*E32))/G28</f>
        <v>0</v>
      </c>
      <c r="H32" s="30">
        <v>0</v>
      </c>
      <c r="I32" s="30">
        <f>(I28*I33)/1000</f>
        <v>472.11643835616434</v>
      </c>
      <c r="J32" s="30">
        <f>Y41*AC35*(1-(AC31/100))</f>
        <v>0</v>
      </c>
      <c r="K32" s="30">
        <f>(K33*K28)/1000</f>
        <v>0</v>
      </c>
      <c r="L32" s="30">
        <f>(Y41*AC35*((AC31-AC32)/100))/1000</f>
        <v>448.51061643835607</v>
      </c>
      <c r="M32" s="30">
        <f>L32</f>
        <v>448.51061643835607</v>
      </c>
      <c r="N32" s="30">
        <v>0</v>
      </c>
      <c r="O32" s="30">
        <f>M32*(1-(O14/100))</f>
        <v>403.65955479452049</v>
      </c>
      <c r="P32" s="30">
        <v>0</v>
      </c>
      <c r="Q32" s="30">
        <f>O32*((AC31-AC32)/100)</f>
        <v>383.47657705479446</v>
      </c>
      <c r="R32" s="30">
        <f>Q32</f>
        <v>383.47657705479446</v>
      </c>
      <c r="S32" s="30">
        <v>0</v>
      </c>
      <c r="T32" s="30">
        <f>P32</f>
        <v>0</v>
      </c>
      <c r="V32" s="38">
        <f>M34*(8/100)</f>
        <v>35.880849315068488</v>
      </c>
      <c r="X32" s="27" t="s">
        <v>75</v>
      </c>
      <c r="Y32" s="39">
        <v>37.76931506849315</v>
      </c>
      <c r="Z32" s="28" t="s">
        <v>86</v>
      </c>
      <c r="AB32" s="27" t="s">
        <v>87</v>
      </c>
      <c r="AC32" s="28">
        <v>5</v>
      </c>
      <c r="AD32" s="28" t="s">
        <v>74</v>
      </c>
    </row>
    <row r="33" spans="2:30" x14ac:dyDescent="0.35">
      <c r="B33" s="256"/>
      <c r="C33" s="40" t="s">
        <v>73</v>
      </c>
      <c r="D33" s="41">
        <v>0</v>
      </c>
      <c r="E33" s="41">
        <v>0</v>
      </c>
      <c r="F33" s="41">
        <f>J33</f>
        <v>0</v>
      </c>
      <c r="G33" s="41">
        <f>(G32/G28)*1000</f>
        <v>0</v>
      </c>
      <c r="H33" s="41">
        <v>0</v>
      </c>
      <c r="I33" s="41">
        <f>Y40*1000</f>
        <v>2000</v>
      </c>
      <c r="J33" s="41">
        <f>(J32/J28)*1000</f>
        <v>0</v>
      </c>
      <c r="K33" s="41">
        <f>J33</f>
        <v>0</v>
      </c>
      <c r="L33" s="41">
        <f>(L32/L28)*1000</f>
        <v>20000</v>
      </c>
      <c r="M33" s="41">
        <f>(M32/M28)*1000</f>
        <v>20000</v>
      </c>
      <c r="N33" s="41">
        <v>0</v>
      </c>
      <c r="O33" s="41">
        <f>(O32/O28)*1000</f>
        <v>11821.366024518387</v>
      </c>
      <c r="P33" s="41">
        <f>(P32/$P$28)*1000</f>
        <v>0</v>
      </c>
      <c r="Q33" s="41">
        <f>(Q32/$Q$28)*1000</f>
        <v>20000</v>
      </c>
      <c r="R33" s="41">
        <f>(R32/$R$28)*1000</f>
        <v>19911.511278718921</v>
      </c>
      <c r="S33" s="41">
        <f>(S32/$S$28)*1000</f>
        <v>0</v>
      </c>
      <c r="T33" s="41">
        <f>(T32/$T$28)*1000</f>
        <v>0</v>
      </c>
      <c r="V33" s="37" t="s">
        <v>88</v>
      </c>
    </row>
    <row r="34" spans="2:30" s="33" customFormat="1" x14ac:dyDescent="0.35">
      <c r="B34" s="256" t="s">
        <v>72</v>
      </c>
      <c r="C34" s="35" t="s">
        <v>6</v>
      </c>
      <c r="D34" s="36">
        <f>(D28*D35)/1000</f>
        <v>317.26224657534243</v>
      </c>
      <c r="E34" s="36">
        <v>0</v>
      </c>
      <c r="F34" s="36">
        <f>F32</f>
        <v>0</v>
      </c>
      <c r="G34" s="36">
        <f>D34+E34+F34</f>
        <v>317.26224657534243</v>
      </c>
      <c r="H34" s="36">
        <v>0</v>
      </c>
      <c r="I34" s="36">
        <f>I32</f>
        <v>472.11643835616434</v>
      </c>
      <c r="J34" s="36">
        <f>J32</f>
        <v>0</v>
      </c>
      <c r="K34" s="36">
        <f>K32</f>
        <v>0</v>
      </c>
      <c r="L34" s="36">
        <f>L32</f>
        <v>448.51061643835607</v>
      </c>
      <c r="M34" s="36">
        <f>M32</f>
        <v>448.51061643835607</v>
      </c>
      <c r="N34" s="36">
        <v>0</v>
      </c>
      <c r="O34" s="36">
        <f>O32</f>
        <v>403.65955479452049</v>
      </c>
      <c r="P34" s="36">
        <f>P32</f>
        <v>0</v>
      </c>
      <c r="Q34" s="36">
        <f>Q32</f>
        <v>383.47657705479446</v>
      </c>
      <c r="R34" s="36">
        <f>Q34</f>
        <v>383.47657705479446</v>
      </c>
      <c r="S34" s="36">
        <v>0</v>
      </c>
      <c r="T34" s="36">
        <f>P34</f>
        <v>0</v>
      </c>
      <c r="V34" s="38">
        <f>M38-V32</f>
        <v>17.54837695731451</v>
      </c>
      <c r="X34" s="265" t="s">
        <v>89</v>
      </c>
      <c r="Y34" s="266"/>
      <c r="Z34" s="267"/>
      <c r="AB34" s="265" t="s">
        <v>90</v>
      </c>
      <c r="AC34" s="266"/>
      <c r="AD34" s="267"/>
    </row>
    <row r="35" spans="2:30" ht="16.5" x14ac:dyDescent="0.35">
      <c r="B35" s="256"/>
      <c r="C35" s="40" t="s">
        <v>73</v>
      </c>
      <c r="D35" s="41">
        <f>Y27</f>
        <v>8400</v>
      </c>
      <c r="E35" s="41">
        <v>0</v>
      </c>
      <c r="F35" s="41">
        <f>F33</f>
        <v>0</v>
      </c>
      <c r="G35" s="41">
        <f>(G34/G28)*1000</f>
        <v>840</v>
      </c>
      <c r="H35" s="41">
        <v>0</v>
      </c>
      <c r="I35" s="41">
        <f>(I34/I28)*1000</f>
        <v>2000</v>
      </c>
      <c r="J35" s="41">
        <f>(J34/J28)*1000</f>
        <v>0</v>
      </c>
      <c r="K35" s="41">
        <f>K33</f>
        <v>0</v>
      </c>
      <c r="L35" s="41">
        <f>(L34/L28)*1000</f>
        <v>20000</v>
      </c>
      <c r="M35" s="41">
        <f>(M34/M28)*1000</f>
        <v>20000</v>
      </c>
      <c r="N35" s="41">
        <v>0</v>
      </c>
      <c r="O35" s="41">
        <f>(O34/O28)*1000</f>
        <v>11821.366024518387</v>
      </c>
      <c r="P35" s="41">
        <f>(P34/$P$28)*1000</f>
        <v>0</v>
      </c>
      <c r="Q35" s="41">
        <f>(Q34/$Q$28)*1000</f>
        <v>20000</v>
      </c>
      <c r="R35" s="41">
        <f>(R34/$R$28)*1000</f>
        <v>19911.511278718921</v>
      </c>
      <c r="S35" s="41">
        <f>(S34/$S$28)*1000</f>
        <v>0</v>
      </c>
      <c r="T35" s="41">
        <f>(T34/$T$28)*1000</f>
        <v>0</v>
      </c>
      <c r="V35" s="37" t="s">
        <v>91</v>
      </c>
      <c r="X35" s="27" t="s">
        <v>92</v>
      </c>
      <c r="Y35" s="28">
        <v>10</v>
      </c>
      <c r="Z35" s="28" t="s">
        <v>74</v>
      </c>
      <c r="AB35" s="27" t="s">
        <v>93</v>
      </c>
      <c r="AC35" s="8">
        <f>AC36/(Y38/100)</f>
        <v>28326.986301369863</v>
      </c>
      <c r="AD35" s="5" t="s">
        <v>94</v>
      </c>
    </row>
    <row r="36" spans="2:30" s="33" customFormat="1" ht="16.5" x14ac:dyDescent="0.35">
      <c r="B36" s="256" t="s">
        <v>77</v>
      </c>
      <c r="C36" s="35" t="s">
        <v>6</v>
      </c>
      <c r="D36" s="36">
        <f>(D28*D37)/1000</f>
        <v>538.59043287671227</v>
      </c>
      <c r="E36" s="36">
        <v>0</v>
      </c>
      <c r="F36" s="36">
        <f>(F37*F28)/1000</f>
        <v>54.064488343376048</v>
      </c>
      <c r="G36" s="36">
        <f>D36+E36+F36</f>
        <v>592.65492122008834</v>
      </c>
      <c r="H36" s="36">
        <f>G36-I36</f>
        <v>254.42118804794524</v>
      </c>
      <c r="I36" s="36">
        <f>J36+L36</f>
        <v>338.2337331721431</v>
      </c>
      <c r="J36" s="36">
        <f>(J28*J37)/1000</f>
        <v>97.856723901510634</v>
      </c>
      <c r="K36" s="36">
        <f>(K32*(Y47/100))+D36*(1-(AC39/100))*(K30/(L30+K30))</f>
        <v>43.792235558134593</v>
      </c>
      <c r="L36" s="36">
        <f>(L32*(Y47/100))+D36*(1-(AC39/100))*(L30/(L30+K30))</f>
        <v>240.37700927063247</v>
      </c>
      <c r="M36" s="36">
        <f>L36</f>
        <v>240.37700927063247</v>
      </c>
      <c r="N36" s="36">
        <f>N31*((3*12)/58.1)</f>
        <v>7262.6297408813325</v>
      </c>
      <c r="O36" s="36">
        <f>M36+((O31*((3*12))/58.1))</f>
        <v>7503.0067501519652</v>
      </c>
      <c r="P36" s="36">
        <f>$P$32*(Y47/100)+(($M$32-$O$32)*(Y47/100))+D36*(1-(AC39/100))*($L$30/($K$30+$L$30))+((P31*((3*12))/58.1))</f>
        <v>3217.652856558188</v>
      </c>
      <c r="Q36" s="36">
        <f>O36-P36</f>
        <v>4285.3538935937777</v>
      </c>
      <c r="R36" s="36">
        <f>Q36</f>
        <v>4285.3538935937777</v>
      </c>
      <c r="S36" s="36">
        <f>S31*((3*12)/58.1)</f>
        <v>2995.9932861781008</v>
      </c>
      <c r="T36" s="36">
        <f>T31*((3*12)/58.1)+D36*(1-(AC39/100))*($L$30/($K$30+$L$30))+(($M$32-$O$32)*(Y47/100))</f>
        <v>221.65957038008858</v>
      </c>
      <c r="V36" s="42">
        <f>V34/M30</f>
        <v>7.9848754713977279E-4</v>
      </c>
      <c r="X36" s="34" t="s">
        <v>58</v>
      </c>
      <c r="Y36" s="43">
        <v>50</v>
      </c>
      <c r="Z36" s="31" t="s">
        <v>74</v>
      </c>
      <c r="AB36" s="34" t="s">
        <v>95</v>
      </c>
      <c r="AC36" s="44">
        <f>G28*Y37</f>
        <v>1133.0794520547945</v>
      </c>
      <c r="AD36" s="45" t="s">
        <v>96</v>
      </c>
    </row>
    <row r="37" spans="2:30" x14ac:dyDescent="0.35">
      <c r="B37" s="256"/>
      <c r="C37" s="40" t="s">
        <v>73</v>
      </c>
      <c r="D37" s="41">
        <f>Y28</f>
        <v>14260</v>
      </c>
      <c r="E37" s="41">
        <v>0</v>
      </c>
      <c r="F37" s="41">
        <f>J37</f>
        <v>458.06063039550281</v>
      </c>
      <c r="G37" s="41">
        <f>(G36/G28)*1000</f>
        <v>1569.1439469985946</v>
      </c>
      <c r="H37" s="41">
        <f>(H36/H28)*1000</f>
        <v>1796.3166666666671</v>
      </c>
      <c r="I37" s="41">
        <f>(I36/I28)*1000</f>
        <v>1432.8403151977514</v>
      </c>
      <c r="J37" s="41">
        <f>K37</f>
        <v>458.06063039550281</v>
      </c>
      <c r="K37" s="41">
        <f t="shared" ref="K37:O37" si="2">(K36/K28)*1000</f>
        <v>458.06063039550281</v>
      </c>
      <c r="L37" s="41">
        <f t="shared" si="2"/>
        <v>10718.899417787594</v>
      </c>
      <c r="M37" s="41">
        <f t="shared" si="2"/>
        <v>10718.899417787594</v>
      </c>
      <c r="N37" s="41">
        <f t="shared" si="2"/>
        <v>485783.13253012043</v>
      </c>
      <c r="O37" s="41">
        <f t="shared" si="2"/>
        <v>219729.19512119167</v>
      </c>
      <c r="P37" s="41">
        <f>(P36/$P$28)*1000</f>
        <v>214900.17103690165</v>
      </c>
      <c r="Q37" s="41">
        <f>(Q36/$Q$28)*1000</f>
        <v>223500.16402599987</v>
      </c>
      <c r="R37" s="41">
        <f>(R36/$R$28)*1000</f>
        <v>222511.30183996132</v>
      </c>
      <c r="S37" s="41">
        <f>(S36/$S$28)*1000</f>
        <v>237547.32421565367</v>
      </c>
      <c r="T37" s="41">
        <f>(T36/$S$28)*1000</f>
        <v>17575.018633553533</v>
      </c>
      <c r="V37" s="37" t="s">
        <v>97</v>
      </c>
      <c r="X37" s="27" t="s">
        <v>98</v>
      </c>
      <c r="Y37" s="46">
        <v>3</v>
      </c>
      <c r="Z37" s="28" t="s">
        <v>99</v>
      </c>
    </row>
    <row r="38" spans="2:30" s="33" customFormat="1" x14ac:dyDescent="0.35">
      <c r="B38" s="256" t="s">
        <v>79</v>
      </c>
      <c r="C38" s="35" t="s">
        <v>6</v>
      </c>
      <c r="D38" s="36">
        <f>(D28*D39)/1000</f>
        <v>193.37889315068492</v>
      </c>
      <c r="E38" s="36">
        <v>0</v>
      </c>
      <c r="F38" s="36">
        <f>(F39*F28)/1000</f>
        <v>77.646614394974875</v>
      </c>
      <c r="G38" s="36">
        <f>D38+E38+F38</f>
        <v>271.02550754565982</v>
      </c>
      <c r="H38" s="36">
        <f>G38-I38</f>
        <v>77.055909218372278</v>
      </c>
      <c r="I38" s="36">
        <f>J38+L38</f>
        <v>193.96959832728754</v>
      </c>
      <c r="J38" s="36">
        <f>(J39*J28)/1000</f>
        <v>140.54037205490454</v>
      </c>
      <c r="K38" s="36">
        <f>(K32*(Y48/100))+D38*(1-(AC40/100))*(K30/(K30+L30))</f>
        <v>62.893757659929655</v>
      </c>
      <c r="L38" s="36">
        <f>(L32*(Y48/100))+D38*(1-(AC40/100))*(L30/(K30+L30))</f>
        <v>53.429226272382998</v>
      </c>
      <c r="M38" s="36">
        <f>L38</f>
        <v>53.429226272382998</v>
      </c>
      <c r="N38" s="36">
        <v>0</v>
      </c>
      <c r="O38" s="36">
        <f>M38</f>
        <v>53.429226272382998</v>
      </c>
      <c r="P38" s="36">
        <f>O38-Q38</f>
        <v>10.254981578229568</v>
      </c>
      <c r="Q38" s="36">
        <f>Q34*(Y48/100)+V40</f>
        <v>43.17424469415343</v>
      </c>
      <c r="R38" s="36">
        <f>Q38</f>
        <v>43.17424469415343</v>
      </c>
      <c r="S38" s="36">
        <f>P38-T38</f>
        <v>0</v>
      </c>
      <c r="T38" s="36">
        <f>P38</f>
        <v>10.254981578229568</v>
      </c>
      <c r="V38" s="38">
        <f>V36*P30</f>
        <v>7.6947020677541529</v>
      </c>
      <c r="X38" s="34" t="s">
        <v>100</v>
      </c>
      <c r="Y38" s="43">
        <v>4</v>
      </c>
      <c r="Z38" s="31" t="s">
        <v>101</v>
      </c>
      <c r="AB38" s="265" t="s">
        <v>102</v>
      </c>
      <c r="AC38" s="266"/>
      <c r="AD38" s="267"/>
    </row>
    <row r="39" spans="2:30" ht="16.5" x14ac:dyDescent="0.35">
      <c r="B39" s="256"/>
      <c r="C39" s="40" t="s">
        <v>73</v>
      </c>
      <c r="D39" s="41">
        <f>Y29</f>
        <v>5120</v>
      </c>
      <c r="E39" s="41">
        <v>0</v>
      </c>
      <c r="F39" s="41">
        <f>J39</f>
        <v>657.8598674964868</v>
      </c>
      <c r="G39" s="41">
        <f>(G38/G28)*1000</f>
        <v>717.58120859265216</v>
      </c>
      <c r="H39" s="41">
        <f>(H38/H28)*1000</f>
        <v>544.04593837535015</v>
      </c>
      <c r="I39" s="41">
        <f>(I38/I28)*1000</f>
        <v>821.70237072303348</v>
      </c>
      <c r="J39" s="41">
        <f>K39</f>
        <v>657.8598674964868</v>
      </c>
      <c r="K39" s="41">
        <f>(K38/K28)*1000</f>
        <v>657.8598674964868</v>
      </c>
      <c r="L39" s="41">
        <f>(L38/L28)*1000</f>
        <v>2382.5177961969775</v>
      </c>
      <c r="M39" s="41">
        <f>(M38/M28)*1000</f>
        <v>2382.5177961969775</v>
      </c>
      <c r="N39" s="41">
        <v>0</v>
      </c>
      <c r="O39" s="41">
        <f>(O38/O28)*1000</f>
        <v>1564.7008293762983</v>
      </c>
      <c r="P39" s="41">
        <f>(P38/$P$28)*1000</f>
        <v>684.90834573718917</v>
      </c>
      <c r="Q39" s="41">
        <f>(Q38/$Q$28)*1000</f>
        <v>2251.7278643584177</v>
      </c>
      <c r="R39" s="41">
        <f>(R38/$R$28)*1000</f>
        <v>2241.7652383889158</v>
      </c>
      <c r="S39" s="41">
        <f>(S38/$S$28)*1000</f>
        <v>0</v>
      </c>
      <c r="T39" s="41">
        <f>(T38/$S$28)*1000</f>
        <v>813.10043150892477</v>
      </c>
      <c r="V39" s="37" t="s">
        <v>103</v>
      </c>
      <c r="X39" s="27" t="s">
        <v>60</v>
      </c>
      <c r="Y39" s="47">
        <v>5</v>
      </c>
      <c r="Z39" s="28" t="s">
        <v>104</v>
      </c>
      <c r="AB39" s="27" t="s">
        <v>77</v>
      </c>
      <c r="AC39" s="5">
        <v>90</v>
      </c>
      <c r="AD39" s="28" t="s">
        <v>74</v>
      </c>
    </row>
    <row r="40" spans="2:30" x14ac:dyDescent="0.35">
      <c r="B40" s="256" t="s">
        <v>81</v>
      </c>
      <c r="C40" s="29" t="s">
        <v>6</v>
      </c>
      <c r="D40" s="30">
        <f>(D28*D41)/1000</f>
        <v>125.69628054794521</v>
      </c>
      <c r="E40" s="30">
        <v>0</v>
      </c>
      <c r="F40" s="30">
        <f>(F41*F28)/1000</f>
        <v>2.2425530821917805</v>
      </c>
      <c r="G40" s="30">
        <f>D40+E40+F40</f>
        <v>127.93883363013698</v>
      </c>
      <c r="H40" s="30">
        <f>G40*0.1</f>
        <v>12.793883363013698</v>
      </c>
      <c r="I40" s="30">
        <f>G40-H40</f>
        <v>115.14495026712328</v>
      </c>
      <c r="J40" s="30">
        <f>(J41*J28)/1000</f>
        <v>4.059021078767123</v>
      </c>
      <c r="K40" s="30">
        <f>(K28*K41)/1000</f>
        <v>1.8164679965753421</v>
      </c>
      <c r="L40" s="30">
        <f>I40-J40</f>
        <v>111.08592918835616</v>
      </c>
      <c r="M40" s="30">
        <f>L40</f>
        <v>111.08592918835616</v>
      </c>
      <c r="N40" s="30">
        <v>0</v>
      </c>
      <c r="O40" s="30">
        <f>M40</f>
        <v>111.08592918835616</v>
      </c>
      <c r="P40" s="30" t="s">
        <v>33</v>
      </c>
      <c r="Q40" s="30" t="s">
        <v>33</v>
      </c>
      <c r="R40" s="30" t="s">
        <v>33</v>
      </c>
      <c r="S40" s="30" t="s">
        <v>33</v>
      </c>
      <c r="T40" s="30" t="s">
        <v>33</v>
      </c>
      <c r="V40" s="38">
        <f>V36*Q30</f>
        <v>9.8536748895603559</v>
      </c>
      <c r="X40" s="27" t="s">
        <v>105</v>
      </c>
      <c r="Y40" s="28">
        <v>2</v>
      </c>
      <c r="Z40" s="28" t="s">
        <v>106</v>
      </c>
      <c r="AB40" s="27" t="s">
        <v>78</v>
      </c>
      <c r="AC40" s="5">
        <v>60</v>
      </c>
      <c r="AD40" s="28" t="s">
        <v>74</v>
      </c>
    </row>
    <row r="41" spans="2:30" ht="16.5" x14ac:dyDescent="0.35">
      <c r="B41" s="256"/>
      <c r="C41" s="40" t="s">
        <v>73</v>
      </c>
      <c r="D41" s="41">
        <f>Y30</f>
        <v>3328</v>
      </c>
      <c r="E41" s="41">
        <v>0</v>
      </c>
      <c r="F41" s="41">
        <f>J41</f>
        <v>19</v>
      </c>
      <c r="G41" s="41">
        <f>(G39/G28)*1000</f>
        <v>1899.9052730804019</v>
      </c>
      <c r="H41" s="41">
        <f>(H40/H28)*1000</f>
        <v>90.33</v>
      </c>
      <c r="I41" s="41">
        <f>(I40/I28)*1000</f>
        <v>487.78199999999998</v>
      </c>
      <c r="J41" s="41">
        <v>19</v>
      </c>
      <c r="K41" s="41">
        <v>19</v>
      </c>
      <c r="L41" s="41">
        <f>(L40/L28)*1000</f>
        <v>4953.5473684210529</v>
      </c>
      <c r="M41" s="41">
        <f>(M40/M28)*1000</f>
        <v>4953.5473684210529</v>
      </c>
      <c r="N41" s="41">
        <v>0</v>
      </c>
      <c r="O41" s="41">
        <f>(O40/O28)*1000</f>
        <v>3253.2053645497281</v>
      </c>
      <c r="P41" s="41" t="s">
        <v>33</v>
      </c>
      <c r="Q41" s="41" t="s">
        <v>33</v>
      </c>
      <c r="R41" s="41" t="s">
        <v>33</v>
      </c>
      <c r="S41" s="41" t="s">
        <v>33</v>
      </c>
      <c r="T41" s="41" t="s">
        <v>33</v>
      </c>
      <c r="X41" s="27" t="s">
        <v>107</v>
      </c>
      <c r="Y41" s="48">
        <f>(I32*1000)/AC35</f>
        <v>16.666666666666664</v>
      </c>
      <c r="Z41" s="28" t="s">
        <v>108</v>
      </c>
      <c r="AB41" s="27" t="s">
        <v>80</v>
      </c>
      <c r="AC41" s="5">
        <v>60</v>
      </c>
      <c r="AD41" s="28" t="s">
        <v>74</v>
      </c>
    </row>
    <row r="42" spans="2:30" s="33" customFormat="1" x14ac:dyDescent="0.35">
      <c r="B42" s="256" t="s">
        <v>83</v>
      </c>
      <c r="C42" s="35" t="s">
        <v>6</v>
      </c>
      <c r="D42" s="36">
        <f>(D28*D43)/1000</f>
        <v>2.8704679452054793</v>
      </c>
      <c r="E42" s="36">
        <v>0</v>
      </c>
      <c r="F42" s="36">
        <f>(F43*F28)/1000</f>
        <v>1.1525669324254084</v>
      </c>
      <c r="G42" s="36">
        <f>D42+E42+F42</f>
        <v>4.023034877630888</v>
      </c>
      <c r="H42" s="36">
        <f>G42-I42</f>
        <v>0.37674891780821973</v>
      </c>
      <c r="I42" s="36">
        <f>J42+L42</f>
        <v>3.6462859598226682</v>
      </c>
      <c r="J42" s="36">
        <f>(J43*J28)/1000</f>
        <v>2.086146147689989</v>
      </c>
      <c r="K42" s="36">
        <f>(K32*(Y49/100))+D42*(1-(AC41/100))*(K30/(K30+L30))</f>
        <v>0.93357921526458076</v>
      </c>
      <c r="L42" s="36">
        <f>(L32*(Y49/100))+D42*(1-(AC41/100))*(L30/(K30+L30))</f>
        <v>1.5601398121326793</v>
      </c>
      <c r="M42" s="36">
        <f>L42</f>
        <v>1.5601398121326793</v>
      </c>
      <c r="N42" s="36">
        <v>0</v>
      </c>
      <c r="O42" s="36">
        <f>M42</f>
        <v>1.5601398121326793</v>
      </c>
      <c r="P42" s="36">
        <f>$P$32*(Y49/100)+(($M$32-$O$32)*(Y49/100))+D42*(1-(AC41/100))*($L$30/($K$30+$L$30))</f>
        <v>0.34916114774911772</v>
      </c>
      <c r="Q42" s="36">
        <f>O42-P42</f>
        <v>1.2109786643835616</v>
      </c>
      <c r="R42" s="36">
        <f>Q42+O69</f>
        <v>86.421366439141011</v>
      </c>
      <c r="S42" s="36">
        <f>P42-T42</f>
        <v>0</v>
      </c>
      <c r="T42" s="36">
        <f>P42</f>
        <v>0.34916114774911772</v>
      </c>
      <c r="V42" s="49"/>
    </row>
    <row r="43" spans="2:30" ht="15" thickBot="1" x14ac:dyDescent="0.4">
      <c r="B43" s="263"/>
      <c r="C43" s="50" t="s">
        <v>73</v>
      </c>
      <c r="D43" s="51">
        <f>Y31</f>
        <v>76</v>
      </c>
      <c r="E43" s="51">
        <v>0</v>
      </c>
      <c r="F43" s="51">
        <f>J43</f>
        <v>9.7651074081509748</v>
      </c>
      <c r="G43" s="51">
        <f>(G42/G28)*1000</f>
        <v>10.65159606504718</v>
      </c>
      <c r="H43" s="51">
        <f>(H42/H28)*1000</f>
        <v>2.6600000000000041</v>
      </c>
      <c r="I43" s="51">
        <f>(I42/I28)*1000</f>
        <v>15.446553704075487</v>
      </c>
      <c r="J43" s="51">
        <f>K43</f>
        <v>9.7651074081509748</v>
      </c>
      <c r="K43" s="51">
        <f>(K42/K28)*1000</f>
        <v>9.7651074081509748</v>
      </c>
      <c r="L43" s="51">
        <f>(L42/L28)*1000</f>
        <v>69.569805259987959</v>
      </c>
      <c r="M43" s="51">
        <f>(M42/M28)*1000</f>
        <v>69.569805259987959</v>
      </c>
      <c r="N43" s="51">
        <v>0</v>
      </c>
      <c r="O43" s="51">
        <f>(O42/O28)*1000</f>
        <v>45.689451790710123</v>
      </c>
      <c r="P43" s="51">
        <f>(P42/$P$28)*1000</f>
        <v>23.319728297535615</v>
      </c>
      <c r="Q43" s="51">
        <f>(Q42/$Q$28)*1000</f>
        <v>63.15789473684211</v>
      </c>
      <c r="R43" s="51">
        <f>(R42/$R$28)*1000</f>
        <v>4487.3145207233283</v>
      </c>
      <c r="S43" s="51">
        <f>(S42/$S$28)*1000</f>
        <v>0</v>
      </c>
      <c r="T43" s="51">
        <f>(T42/$T$28)*1000</f>
        <v>161.35594440232975</v>
      </c>
      <c r="X43" s="257" t="s">
        <v>109</v>
      </c>
      <c r="Y43" s="258"/>
      <c r="Z43" s="259"/>
      <c r="AB43" s="257" t="s">
        <v>84</v>
      </c>
      <c r="AC43" s="258"/>
      <c r="AD43" s="259"/>
    </row>
    <row r="44" spans="2:30" ht="17" thickTop="1" x14ac:dyDescent="0.35">
      <c r="B44" s="264" t="s">
        <v>110</v>
      </c>
      <c r="C44" s="52" t="s">
        <v>6</v>
      </c>
      <c r="D44" s="53">
        <v>0</v>
      </c>
      <c r="E44" s="53">
        <v>0</v>
      </c>
      <c r="F44" s="53">
        <f>(F45*F28)/1000</f>
        <v>0</v>
      </c>
      <c r="G44" s="53">
        <f>D44+E44+F44</f>
        <v>0</v>
      </c>
      <c r="H44" s="53">
        <v>0</v>
      </c>
      <c r="I44" s="53">
        <f>J44+L44</f>
        <v>231.87998869863009</v>
      </c>
      <c r="J44" s="53">
        <f>J32*(Y44/100)</f>
        <v>0</v>
      </c>
      <c r="K44" s="53">
        <f>K32*(Y44/100)</f>
        <v>0</v>
      </c>
      <c r="L44" s="53">
        <f>L32*(Y44/100)</f>
        <v>231.87998869863009</v>
      </c>
      <c r="M44" s="53">
        <f>L44</f>
        <v>231.87998869863009</v>
      </c>
      <c r="N44" s="53">
        <v>0</v>
      </c>
      <c r="O44" s="53">
        <f>M44</f>
        <v>231.87998869863009</v>
      </c>
      <c r="P44" s="53">
        <f>O44-Q44</f>
        <v>33.622598361301357</v>
      </c>
      <c r="Q44" s="53">
        <f>Q32*(Y44/100)</f>
        <v>198.25739033732873</v>
      </c>
      <c r="R44" s="53">
        <f>Q44</f>
        <v>198.25739033732873</v>
      </c>
      <c r="S44" s="53" t="s">
        <v>33</v>
      </c>
      <c r="T44" s="53" t="s">
        <v>33</v>
      </c>
      <c r="V44" s="11"/>
      <c r="X44" s="27" t="s">
        <v>110</v>
      </c>
      <c r="Y44" s="5">
        <v>51.7</v>
      </c>
      <c r="Z44" s="28" t="s">
        <v>74</v>
      </c>
      <c r="AB44" s="27" t="s">
        <v>111</v>
      </c>
      <c r="AC44" s="5">
        <v>40</v>
      </c>
      <c r="AD44" s="28" t="s">
        <v>112</v>
      </c>
    </row>
    <row r="45" spans="2:30" x14ac:dyDescent="0.35">
      <c r="B45" s="256"/>
      <c r="C45" s="40" t="s">
        <v>73</v>
      </c>
      <c r="D45" s="41">
        <v>0</v>
      </c>
      <c r="E45" s="41">
        <v>0</v>
      </c>
      <c r="F45" s="41">
        <f>J45</f>
        <v>0</v>
      </c>
      <c r="G45" s="41">
        <f>(G44/G28)*1000</f>
        <v>0</v>
      </c>
      <c r="H45" s="41">
        <v>0</v>
      </c>
      <c r="I45" s="41">
        <f>(I44/I28)*1000</f>
        <v>982.29999999999984</v>
      </c>
      <c r="J45" s="41">
        <f>(J44/J28)*1000</f>
        <v>0</v>
      </c>
      <c r="K45" s="41">
        <f>(K44/K28)*1000</f>
        <v>0</v>
      </c>
      <c r="L45" s="41">
        <f>(L44/L28)*1000</f>
        <v>10340</v>
      </c>
      <c r="M45" s="41">
        <f>(M44/M28)*1000</f>
        <v>10340</v>
      </c>
      <c r="N45" s="41">
        <v>0</v>
      </c>
      <c r="O45" s="41">
        <f>(O44/O28)*1000</f>
        <v>6790.7180385288957</v>
      </c>
      <c r="P45" s="41">
        <f>(P44/$P$28)*1000</f>
        <v>2245.5816275586612</v>
      </c>
      <c r="Q45" s="41">
        <f>(Q44/$Q$28)*1000</f>
        <v>10339.999999999998</v>
      </c>
      <c r="R45" s="41">
        <f>(R44/$R$28)*1000</f>
        <v>10294.251331097683</v>
      </c>
      <c r="S45" s="41" t="s">
        <v>33</v>
      </c>
      <c r="T45" s="41" t="s">
        <v>33</v>
      </c>
      <c r="X45" s="27" t="s">
        <v>113</v>
      </c>
      <c r="Y45" s="5">
        <v>22.3</v>
      </c>
      <c r="Z45" s="28" t="s">
        <v>74</v>
      </c>
      <c r="AB45" s="54" t="s">
        <v>114</v>
      </c>
      <c r="AC45" s="5">
        <v>20</v>
      </c>
      <c r="AD45" s="5" t="s">
        <v>106</v>
      </c>
    </row>
    <row r="46" spans="2:30" x14ac:dyDescent="0.35">
      <c r="B46" s="256" t="s">
        <v>113</v>
      </c>
      <c r="C46" s="29" t="s">
        <v>6</v>
      </c>
      <c r="D46" s="30">
        <v>0</v>
      </c>
      <c r="E46" s="30">
        <v>0</v>
      </c>
      <c r="F46" s="30">
        <f>(F47*F28)/1000</f>
        <v>0</v>
      </c>
      <c r="G46" s="30">
        <f>D46+E46+F46</f>
        <v>0</v>
      </c>
      <c r="H46" s="30">
        <v>0</v>
      </c>
      <c r="I46" s="30">
        <f>J46+L46</f>
        <v>100.0178674657534</v>
      </c>
      <c r="J46" s="30">
        <f>J32*(Y45/100)</f>
        <v>0</v>
      </c>
      <c r="K46" s="30">
        <f>K32*(Y45/100)</f>
        <v>0</v>
      </c>
      <c r="L46" s="30">
        <f>L32*(Y45/100)</f>
        <v>100.0178674657534</v>
      </c>
      <c r="M46" s="30">
        <f>L46</f>
        <v>100.0178674657534</v>
      </c>
      <c r="N46" s="30">
        <v>0</v>
      </c>
      <c r="O46" s="30">
        <f>M46</f>
        <v>100.0178674657534</v>
      </c>
      <c r="P46" s="30">
        <f>O46-Q46</f>
        <v>14.502590782534227</v>
      </c>
      <c r="Q46" s="30">
        <f>Q32*(Y45/100)</f>
        <v>85.51527668321917</v>
      </c>
      <c r="R46" s="30">
        <f>Q46</f>
        <v>85.51527668321917</v>
      </c>
      <c r="S46" s="30" t="s">
        <v>33</v>
      </c>
      <c r="T46" s="30" t="s">
        <v>33</v>
      </c>
      <c r="X46" s="27" t="s">
        <v>115</v>
      </c>
      <c r="Y46" s="5">
        <v>13.4</v>
      </c>
      <c r="Z46" s="28" t="s">
        <v>74</v>
      </c>
      <c r="AB46" s="54" t="s">
        <v>116</v>
      </c>
      <c r="AC46" s="55">
        <f>AC45/Y40</f>
        <v>10</v>
      </c>
      <c r="AD46" s="56"/>
    </row>
    <row r="47" spans="2:30" x14ac:dyDescent="0.35">
      <c r="B47" s="256"/>
      <c r="C47" s="40" t="s">
        <v>73</v>
      </c>
      <c r="D47" s="41">
        <v>0</v>
      </c>
      <c r="E47" s="41">
        <v>0</v>
      </c>
      <c r="F47" s="41">
        <f>J47</f>
        <v>0</v>
      </c>
      <c r="G47" s="41">
        <f>(G46/G28)*1000</f>
        <v>0</v>
      </c>
      <c r="H47" s="41">
        <v>0</v>
      </c>
      <c r="I47" s="41">
        <f>(I46/I28)*1000</f>
        <v>423.69999999999993</v>
      </c>
      <c r="J47" s="41">
        <f>(J46*J28)/1000</f>
        <v>0</v>
      </c>
      <c r="K47" s="41">
        <f>(K46/K28)*1000</f>
        <v>0</v>
      </c>
      <c r="L47" s="41">
        <f>(L46/L28)*1000</f>
        <v>4460</v>
      </c>
      <c r="M47" s="41">
        <f>(M46/M28)*1000</f>
        <v>4460</v>
      </c>
      <c r="N47" s="41">
        <v>0</v>
      </c>
      <c r="O47" s="41">
        <f>(O46/O28)*1000</f>
        <v>2929.0718038528889</v>
      </c>
      <c r="P47" s="41">
        <f>(P46/$P$28)*1000</f>
        <v>968.59710434348347</v>
      </c>
      <c r="Q47" s="41">
        <f>(Q46/$Q$28)*1000</f>
        <v>4460</v>
      </c>
      <c r="R47" s="41">
        <f>(R46/$R$28)*1000</f>
        <v>4440.2670151543198</v>
      </c>
      <c r="S47" s="41" t="s">
        <v>33</v>
      </c>
      <c r="T47" s="41" t="s">
        <v>33</v>
      </c>
      <c r="X47" s="27" t="s">
        <v>21</v>
      </c>
      <c r="Y47" s="5">
        <v>51.35</v>
      </c>
      <c r="Z47" s="28" t="s">
        <v>74</v>
      </c>
    </row>
    <row r="48" spans="2:30" x14ac:dyDescent="0.35">
      <c r="B48" s="256" t="s">
        <v>115</v>
      </c>
      <c r="C48" s="29" t="s">
        <v>6</v>
      </c>
      <c r="D48" s="30">
        <v>0</v>
      </c>
      <c r="E48" s="30">
        <v>0</v>
      </c>
      <c r="F48" s="30">
        <f>(F49*F28)/1000</f>
        <v>0</v>
      </c>
      <c r="G48" s="30">
        <f>D48+E48+F48</f>
        <v>0</v>
      </c>
      <c r="H48" s="30">
        <v>0</v>
      </c>
      <c r="I48" s="30">
        <f>J48+L48</f>
        <v>60.100422602739719</v>
      </c>
      <c r="J48" s="30">
        <f>J32*(Y46/100)</f>
        <v>0</v>
      </c>
      <c r="K48" s="30">
        <f>K32*(Y46/100)</f>
        <v>0</v>
      </c>
      <c r="L48" s="30">
        <f>L32*(Y46/100)</f>
        <v>60.100422602739719</v>
      </c>
      <c r="M48" s="30">
        <f>L48</f>
        <v>60.100422602739719</v>
      </c>
      <c r="N48" s="30">
        <v>0</v>
      </c>
      <c r="O48" s="30">
        <f>M48</f>
        <v>60.100422602739719</v>
      </c>
      <c r="P48" s="30">
        <f>O48-Q48</f>
        <v>8.7145612773972587</v>
      </c>
      <c r="Q48" s="30">
        <f>Q32*(Y46/100)</f>
        <v>51.385861325342461</v>
      </c>
      <c r="R48" s="30">
        <f>Q48</f>
        <v>51.385861325342461</v>
      </c>
      <c r="S48" s="30" t="s">
        <v>33</v>
      </c>
      <c r="T48" s="30" t="s">
        <v>33</v>
      </c>
      <c r="X48" s="27" t="s">
        <v>78</v>
      </c>
      <c r="Y48" s="8">
        <f>Y44/5.95</f>
        <v>8.6890756302521019</v>
      </c>
      <c r="Z48" s="28" t="s">
        <v>74</v>
      </c>
      <c r="AB48" s="257" t="s">
        <v>117</v>
      </c>
      <c r="AC48" s="258"/>
      <c r="AD48" s="259"/>
    </row>
    <row r="49" spans="2:30" x14ac:dyDescent="0.35">
      <c r="B49" s="256"/>
      <c r="C49" s="40" t="s">
        <v>73</v>
      </c>
      <c r="D49" s="41">
        <v>0</v>
      </c>
      <c r="E49" s="41">
        <v>0</v>
      </c>
      <c r="F49" s="41">
        <f>J49</f>
        <v>0</v>
      </c>
      <c r="G49" s="41">
        <f>(G48/G28)*1000</f>
        <v>0</v>
      </c>
      <c r="H49" s="41">
        <v>0</v>
      </c>
      <c r="I49" s="41">
        <f>(I48/I28)*1000</f>
        <v>254.6</v>
      </c>
      <c r="J49" s="41">
        <f>(J48*J28)/1000</f>
        <v>0</v>
      </c>
      <c r="K49" s="41">
        <f>(K48/K28)*1000</f>
        <v>0</v>
      </c>
      <c r="L49" s="41">
        <f>(L48/L28)*1000</f>
        <v>2680</v>
      </c>
      <c r="M49" s="41">
        <f>(M48/M28)*1000</f>
        <v>2680</v>
      </c>
      <c r="N49" s="41">
        <v>0</v>
      </c>
      <c r="O49" s="41">
        <f>(O48/O28)*1000</f>
        <v>1760.0700525394045</v>
      </c>
      <c r="P49" s="41">
        <f>(P48/$P$28)*1000</f>
        <v>582.02695956065884</v>
      </c>
      <c r="Q49" s="41">
        <f>(Q48/$Q$28)*1000</f>
        <v>2680</v>
      </c>
      <c r="R49" s="41">
        <f>(R48/$R$28)*1000</f>
        <v>2668.142511348336</v>
      </c>
      <c r="S49" s="41" t="s">
        <v>33</v>
      </c>
      <c r="T49" s="41" t="s">
        <v>33</v>
      </c>
      <c r="X49" s="27" t="s">
        <v>80</v>
      </c>
      <c r="Y49" s="5">
        <v>0.3</v>
      </c>
      <c r="Z49" s="28" t="s">
        <v>74</v>
      </c>
      <c r="AB49" s="260" t="s">
        <v>118</v>
      </c>
      <c r="AC49" s="5">
        <v>40</v>
      </c>
      <c r="AD49" s="5" t="s">
        <v>74</v>
      </c>
    </row>
    <row r="50" spans="2:30" ht="16.5" x14ac:dyDescent="0.35">
      <c r="J50" s="57"/>
      <c r="K50" s="57"/>
      <c r="AB50" s="261"/>
      <c r="AC50" s="8">
        <f>(M28*(AC49/100))/(1-(AC49/100))</f>
        <v>14.950353881278538</v>
      </c>
      <c r="AD50" s="28" t="s">
        <v>86</v>
      </c>
    </row>
    <row r="51" spans="2:30" x14ac:dyDescent="0.35">
      <c r="R51">
        <f>(R34/R29)*100</f>
        <v>1.9911511278718925</v>
      </c>
      <c r="U51" s="11">
        <f>R28+T28</f>
        <v>21.42295795477337</v>
      </c>
      <c r="X51" s="257" t="s">
        <v>119</v>
      </c>
      <c r="Y51" s="258"/>
      <c r="Z51" s="259"/>
      <c r="AB51" s="54" t="s">
        <v>120</v>
      </c>
      <c r="AC51" s="5">
        <v>95</v>
      </c>
      <c r="AD51" s="5" t="s">
        <v>74</v>
      </c>
    </row>
    <row r="52" spans="2:30" ht="15" customHeight="1" x14ac:dyDescent="0.35">
      <c r="B52" s="220" t="s">
        <v>121</v>
      </c>
      <c r="C52" s="220"/>
      <c r="D52" s="220"/>
      <c r="E52" s="8">
        <f>(((G40-H40)-I40)/(G40-H40))*100</f>
        <v>0</v>
      </c>
      <c r="F52" s="3" t="s">
        <v>122</v>
      </c>
      <c r="U52">
        <f>R28/U51</f>
        <v>0.89899066604960909</v>
      </c>
      <c r="X52" s="27" t="s">
        <v>123</v>
      </c>
      <c r="Y52" s="5">
        <v>95</v>
      </c>
      <c r="Z52" s="28" t="s">
        <v>74</v>
      </c>
      <c r="AB52" s="260" t="s">
        <v>124</v>
      </c>
      <c r="AC52" s="5">
        <v>9</v>
      </c>
      <c r="AD52" s="5" t="s">
        <v>74</v>
      </c>
    </row>
    <row r="53" spans="2:30" x14ac:dyDescent="0.35">
      <c r="R53" s="11"/>
      <c r="X53" s="27" t="s">
        <v>125</v>
      </c>
      <c r="Y53" s="5">
        <f>AC53</f>
        <v>90</v>
      </c>
      <c r="Z53" s="28" t="s">
        <v>106</v>
      </c>
      <c r="AB53" s="262"/>
      <c r="AC53" s="5">
        <f>AC52*10</f>
        <v>90</v>
      </c>
      <c r="AD53" s="5" t="s">
        <v>126</v>
      </c>
    </row>
    <row r="54" spans="2:30" x14ac:dyDescent="0.35">
      <c r="B54" s="220" t="s">
        <v>127</v>
      </c>
      <c r="C54" s="220"/>
      <c r="D54" s="220"/>
      <c r="E54" s="220"/>
      <c r="H54" s="11"/>
      <c r="AB54" s="261"/>
      <c r="AC54" s="5">
        <f>AC53*1000</f>
        <v>90000</v>
      </c>
      <c r="AD54" s="5" t="s">
        <v>73</v>
      </c>
    </row>
    <row r="55" spans="2:30" x14ac:dyDescent="0.35">
      <c r="B55" s="5"/>
      <c r="C55" s="59" t="s">
        <v>128</v>
      </c>
      <c r="D55" s="59" t="s">
        <v>129</v>
      </c>
      <c r="E55" s="59" t="s">
        <v>130</v>
      </c>
      <c r="X55" s="27" t="s">
        <v>131</v>
      </c>
      <c r="Y55" s="60">
        <v>20</v>
      </c>
      <c r="Z55" s="5" t="s">
        <v>106</v>
      </c>
      <c r="AB55" s="54" t="s">
        <v>132</v>
      </c>
      <c r="AC55" s="5">
        <v>784</v>
      </c>
      <c r="AD55" s="5" t="s">
        <v>133</v>
      </c>
    </row>
    <row r="56" spans="2:30" x14ac:dyDescent="0.35">
      <c r="B56" s="59" t="s">
        <v>79</v>
      </c>
      <c r="C56" s="8">
        <f>D38</f>
        <v>193.37889315068492</v>
      </c>
      <c r="D56" s="8">
        <f>H38+K38+O38</f>
        <v>193.37889315068495</v>
      </c>
      <c r="E56" s="8">
        <f>O32*(Y48/100)</f>
        <v>35.074284004834809</v>
      </c>
    </row>
    <row r="57" spans="2:30" x14ac:dyDescent="0.35">
      <c r="B57" s="59" t="s">
        <v>83</v>
      </c>
      <c r="C57" s="8">
        <f>D42</f>
        <v>2.8704679452054793</v>
      </c>
      <c r="D57" s="8">
        <f>H42+K42+O42</f>
        <v>2.8704679452054798</v>
      </c>
      <c r="E57" s="8">
        <f>O32*(Y49/100)</f>
        <v>1.2109786643835614</v>
      </c>
    </row>
    <row r="58" spans="2:30" x14ac:dyDescent="0.35">
      <c r="B58" s="59" t="s">
        <v>81</v>
      </c>
      <c r="C58" s="8">
        <f>D40</f>
        <v>125.69628054794521</v>
      </c>
      <c r="D58" s="8">
        <f>H40+K40+O40</f>
        <v>125.69628054794521</v>
      </c>
      <c r="E58" s="8">
        <f>D40*(E52/100)</f>
        <v>0</v>
      </c>
      <c r="F58" s="61"/>
    </row>
    <row r="59" spans="2:30" x14ac:dyDescent="0.35">
      <c r="B59" s="59" t="s">
        <v>75</v>
      </c>
      <c r="C59" s="8">
        <f>D28+E28</f>
        <v>259.66404109589041</v>
      </c>
      <c r="D59" s="8">
        <f>H28+O28+K28</f>
        <v>271.38511853881278</v>
      </c>
      <c r="E59" s="8" t="s">
        <v>33</v>
      </c>
    </row>
    <row r="62" spans="2:30" ht="20" thickBot="1" x14ac:dyDescent="0.5">
      <c r="B62" s="225" t="s">
        <v>134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X62" s="252" t="s">
        <v>135</v>
      </c>
      <c r="Y62" s="252"/>
      <c r="Z62" s="252"/>
      <c r="AA62" s="252"/>
      <c r="AB62" s="252"/>
      <c r="AC62" s="252"/>
      <c r="AD62" s="252"/>
    </row>
    <row r="63" spans="2:30" ht="15" thickTop="1" x14ac:dyDescent="0.35"/>
    <row r="64" spans="2:30" ht="16.5" x14ac:dyDescent="0.35">
      <c r="B64" s="255" t="s">
        <v>136</v>
      </c>
      <c r="C64" s="255"/>
      <c r="D64" s="255"/>
      <c r="F64" s="255" t="s">
        <v>84</v>
      </c>
      <c r="G64" s="255"/>
      <c r="H64" s="255"/>
      <c r="J64" s="255" t="s">
        <v>137</v>
      </c>
      <c r="K64" s="255"/>
      <c r="L64" s="255"/>
      <c r="N64" s="255" t="s">
        <v>138</v>
      </c>
      <c r="O64" s="255"/>
      <c r="P64" s="255"/>
      <c r="S64" s="255" t="s">
        <v>139</v>
      </c>
      <c r="T64" s="255"/>
      <c r="U64" s="255"/>
      <c r="X64" s="221" t="s">
        <v>140</v>
      </c>
      <c r="Y64" s="48">
        <f>P28</f>
        <v>14.972779412100458</v>
      </c>
      <c r="Z64" s="28" t="s">
        <v>86</v>
      </c>
      <c r="AB64" s="221" t="s">
        <v>141</v>
      </c>
      <c r="AC64" s="221"/>
      <c r="AD64" s="221"/>
    </row>
    <row r="65" spans="2:30" ht="16.5" x14ac:dyDescent="0.35">
      <c r="B65" s="63" t="s">
        <v>93</v>
      </c>
      <c r="C65" s="8">
        <f>AC35</f>
        <v>28326.986301369863</v>
      </c>
      <c r="D65" s="5" t="s">
        <v>94</v>
      </c>
      <c r="F65" s="64" t="s">
        <v>93</v>
      </c>
      <c r="G65" s="48">
        <f>(I28*1000)/(AC44*G66)</f>
        <v>245.89397831050226</v>
      </c>
      <c r="H65" s="28" t="s">
        <v>94</v>
      </c>
      <c r="J65" s="64" t="s">
        <v>142</v>
      </c>
      <c r="K65" s="28">
        <v>400</v>
      </c>
      <c r="L65" s="28" t="s">
        <v>143</v>
      </c>
      <c r="N65" s="64" t="s">
        <v>144</v>
      </c>
      <c r="O65" s="28">
        <v>2</v>
      </c>
      <c r="P65" s="28" t="s">
        <v>74</v>
      </c>
      <c r="S65" s="64" t="s">
        <v>145</v>
      </c>
      <c r="T65" s="8">
        <f>T28</f>
        <v>2.163918714258886</v>
      </c>
      <c r="U65" s="5" t="s">
        <v>86</v>
      </c>
      <c r="X65" s="221"/>
      <c r="Y65" s="8">
        <f>P29</f>
        <v>14972.779412100457</v>
      </c>
      <c r="Z65" s="5" t="s">
        <v>6</v>
      </c>
      <c r="AB65" s="253" t="s">
        <v>75</v>
      </c>
      <c r="AC65" s="5">
        <f>AC67*AC68*(AC69-AC70)/1000</f>
        <v>4161983.4931815639</v>
      </c>
      <c r="AD65" s="5" t="s">
        <v>146</v>
      </c>
    </row>
    <row r="66" spans="2:30" ht="16.5" x14ac:dyDescent="0.35">
      <c r="B66" s="63" t="s">
        <v>95</v>
      </c>
      <c r="C66" s="8">
        <f>AC36</f>
        <v>1133.0794520547945</v>
      </c>
      <c r="D66" s="5" t="s">
        <v>147</v>
      </c>
      <c r="F66" s="64" t="s">
        <v>148</v>
      </c>
      <c r="G66" s="28">
        <v>24</v>
      </c>
      <c r="H66" s="28" t="s">
        <v>149</v>
      </c>
      <c r="J66" s="64" t="s">
        <v>148</v>
      </c>
      <c r="K66" s="65">
        <f>10/60</f>
        <v>0.16666666666666666</v>
      </c>
      <c r="L66" s="28" t="s">
        <v>149</v>
      </c>
      <c r="N66" s="64" t="s">
        <v>150</v>
      </c>
      <c r="O66" s="48">
        <f>(O65/100)*Q32</f>
        <v>7.6695315410958891</v>
      </c>
      <c r="P66" s="28" t="s">
        <v>6</v>
      </c>
      <c r="S66" s="64" t="s">
        <v>98</v>
      </c>
      <c r="T66" s="5">
        <v>24</v>
      </c>
      <c r="U66" s="5" t="s">
        <v>149</v>
      </c>
      <c r="X66" s="62" t="s">
        <v>151</v>
      </c>
      <c r="Y66" s="28">
        <v>30</v>
      </c>
      <c r="Z66" s="28" t="s">
        <v>152</v>
      </c>
      <c r="AB66" s="253"/>
      <c r="AC66" s="8">
        <f>AC65/(24*60*60)</f>
        <v>48.171105245156987</v>
      </c>
      <c r="AD66" s="5" t="s">
        <v>153</v>
      </c>
    </row>
    <row r="67" spans="2:30" ht="16.5" x14ac:dyDescent="0.35">
      <c r="B67" s="63" t="s">
        <v>100</v>
      </c>
      <c r="C67" s="5">
        <f>Y38/100</f>
        <v>0.04</v>
      </c>
      <c r="D67" s="5" t="s">
        <v>154</v>
      </c>
      <c r="F67" s="64" t="s">
        <v>155</v>
      </c>
      <c r="G67" s="5">
        <v>43.5</v>
      </c>
      <c r="H67" s="28" t="s">
        <v>94</v>
      </c>
      <c r="J67" s="64" t="s">
        <v>156</v>
      </c>
      <c r="K67" s="28">
        <v>50</v>
      </c>
      <c r="L67" s="28" t="s">
        <v>157</v>
      </c>
      <c r="N67" s="64" t="s">
        <v>98</v>
      </c>
      <c r="O67" s="5">
        <v>4</v>
      </c>
      <c r="P67" s="28" t="s">
        <v>149</v>
      </c>
      <c r="S67" s="64" t="s">
        <v>95</v>
      </c>
      <c r="T67" s="8">
        <f>T65*(T66/24)</f>
        <v>2.163918714258886</v>
      </c>
      <c r="U67" s="5" t="s">
        <v>147</v>
      </c>
      <c r="X67" s="62" t="s">
        <v>158</v>
      </c>
      <c r="Y67" s="28">
        <f>X15</f>
        <v>96.5</v>
      </c>
      <c r="Z67" s="28" t="s">
        <v>152</v>
      </c>
      <c r="AB67" s="66" t="s">
        <v>140</v>
      </c>
      <c r="AC67" s="8">
        <f>Y65</f>
        <v>14972.779412100457</v>
      </c>
      <c r="AD67" s="5" t="s">
        <v>6</v>
      </c>
    </row>
    <row r="68" spans="2:30" ht="16.5" x14ac:dyDescent="0.35">
      <c r="B68" s="63" t="s">
        <v>159</v>
      </c>
      <c r="C68" s="28">
        <v>50</v>
      </c>
      <c r="D68" s="5" t="s">
        <v>160</v>
      </c>
      <c r="F68" s="64" t="s">
        <v>161</v>
      </c>
      <c r="G68" s="67">
        <f>ROUND(G65/G67,0)</f>
        <v>6</v>
      </c>
      <c r="H68" s="5"/>
      <c r="J68" s="68" t="s">
        <v>162</v>
      </c>
      <c r="K68" s="48">
        <f>K67*M32</f>
        <v>22425.530821917804</v>
      </c>
      <c r="L68" s="28" t="s">
        <v>157</v>
      </c>
      <c r="N68" s="64" t="s">
        <v>95</v>
      </c>
      <c r="O68" s="48">
        <f>(R28/24)*O67</f>
        <v>3.2098398734190803</v>
      </c>
      <c r="P68" s="5" t="s">
        <v>147</v>
      </c>
      <c r="AB68" s="66" t="s">
        <v>163</v>
      </c>
      <c r="AC68" s="5">
        <v>4180</v>
      </c>
      <c r="AD68" s="5" t="s">
        <v>164</v>
      </c>
    </row>
    <row r="69" spans="2:30" ht="16.5" x14ac:dyDescent="0.35">
      <c r="B69" s="63" t="s">
        <v>165</v>
      </c>
      <c r="C69" s="8">
        <f>C66*C68</f>
        <v>56653.972602739726</v>
      </c>
      <c r="D69" s="5" t="s">
        <v>166</v>
      </c>
      <c r="J69" s="255" t="s">
        <v>167</v>
      </c>
      <c r="K69" s="255"/>
      <c r="L69" s="255"/>
      <c r="N69" s="64" t="s">
        <v>168</v>
      </c>
      <c r="O69" s="8">
        <v>85.21038777475745</v>
      </c>
      <c r="P69" s="28" t="s">
        <v>6</v>
      </c>
      <c r="S69" s="255" t="s">
        <v>169</v>
      </c>
      <c r="T69" s="255"/>
      <c r="U69" s="255"/>
      <c r="X69" s="62" t="s">
        <v>93</v>
      </c>
      <c r="Y69" s="8">
        <f>0.575168003325301/2</f>
        <v>0.28758400166265052</v>
      </c>
      <c r="Z69" s="28" t="s">
        <v>94</v>
      </c>
      <c r="AB69" s="66" t="s">
        <v>170</v>
      </c>
      <c r="AC69" s="5">
        <f>Y67</f>
        <v>96.5</v>
      </c>
      <c r="AD69" s="5" t="s">
        <v>152</v>
      </c>
    </row>
    <row r="70" spans="2:30" ht="16.5" x14ac:dyDescent="0.35">
      <c r="B70" s="63" t="s">
        <v>98</v>
      </c>
      <c r="C70" s="5">
        <v>24</v>
      </c>
      <c r="D70" s="5" t="s">
        <v>149</v>
      </c>
      <c r="F70" s="255" t="s">
        <v>171</v>
      </c>
      <c r="G70" s="255"/>
      <c r="H70" s="255"/>
      <c r="J70" s="64" t="s">
        <v>98</v>
      </c>
      <c r="K70" s="5">
        <v>15</v>
      </c>
      <c r="L70" s="28" t="s">
        <v>172</v>
      </c>
      <c r="N70" s="255" t="s">
        <v>173</v>
      </c>
      <c r="O70" s="255"/>
      <c r="P70" s="255"/>
      <c r="S70" s="64" t="s">
        <v>145</v>
      </c>
      <c r="T70" s="8">
        <f>R28</f>
        <v>19.259039240514483</v>
      </c>
      <c r="U70" s="5" t="s">
        <v>86</v>
      </c>
      <c r="AB70" s="66" t="s">
        <v>174</v>
      </c>
      <c r="AC70" s="5">
        <f>Y66</f>
        <v>30</v>
      </c>
      <c r="AD70" s="5" t="s">
        <v>152</v>
      </c>
    </row>
    <row r="71" spans="2:30" ht="16.5" x14ac:dyDescent="0.35">
      <c r="F71" s="64" t="s">
        <v>93</v>
      </c>
      <c r="G71" s="8">
        <f>Y69</f>
        <v>0.28758400166265052</v>
      </c>
      <c r="H71" s="28" t="s">
        <v>94</v>
      </c>
      <c r="J71" s="64" t="s">
        <v>95</v>
      </c>
      <c r="K71" s="8">
        <f>(P28*K70)/(24*60)</f>
        <v>0.15596645220937977</v>
      </c>
      <c r="L71" s="5" t="s">
        <v>147</v>
      </c>
      <c r="N71" s="64" t="s">
        <v>14</v>
      </c>
      <c r="O71" s="5">
        <v>40</v>
      </c>
      <c r="P71" s="28" t="s">
        <v>74</v>
      </c>
      <c r="S71" s="64" t="s">
        <v>98</v>
      </c>
      <c r="T71" s="5">
        <v>24</v>
      </c>
      <c r="U71" s="5" t="s">
        <v>149</v>
      </c>
      <c r="X71" s="221" t="s">
        <v>75</v>
      </c>
      <c r="Y71" s="28">
        <f>(AC65*$G$118)/1000</f>
        <v>1519123.9750112707</v>
      </c>
      <c r="Z71" s="28" t="s">
        <v>272</v>
      </c>
    </row>
    <row r="72" spans="2:30" ht="16.5" x14ac:dyDescent="0.35">
      <c r="B72" s="255" t="s">
        <v>175</v>
      </c>
      <c r="C72" s="255"/>
      <c r="D72" s="255"/>
      <c r="N72" s="68" t="s">
        <v>98</v>
      </c>
      <c r="O72" s="5">
        <v>1</v>
      </c>
      <c r="P72" s="28" t="s">
        <v>149</v>
      </c>
      <c r="S72" s="64" t="s">
        <v>95</v>
      </c>
      <c r="T72" s="8">
        <f>T70*(T71/24)</f>
        <v>19.259039240514483</v>
      </c>
      <c r="U72" s="5" t="s">
        <v>147</v>
      </c>
      <c r="X72" s="221"/>
      <c r="Y72" s="8">
        <f>AC73*$F$118</f>
        <v>1156.1065258837677</v>
      </c>
      <c r="Z72" s="28" t="s">
        <v>255</v>
      </c>
      <c r="AB72" s="239" t="s">
        <v>176</v>
      </c>
      <c r="AC72" s="239"/>
      <c r="AD72" s="239"/>
    </row>
    <row r="73" spans="2:30" ht="16.5" x14ac:dyDescent="0.35">
      <c r="B73" s="64" t="s">
        <v>93</v>
      </c>
      <c r="C73" s="48">
        <f>(O28*1000)/(AC44*G66)</f>
        <v>35.569383609208522</v>
      </c>
      <c r="D73" s="28" t="s">
        <v>94</v>
      </c>
      <c r="N73" s="68" t="s">
        <v>95</v>
      </c>
      <c r="O73" s="8">
        <f>O28*(O72/24)</f>
        <v>1.4227753443683409</v>
      </c>
      <c r="P73" s="5" t="s">
        <v>147</v>
      </c>
      <c r="AB73" s="66" t="s">
        <v>75</v>
      </c>
      <c r="AC73" s="70">
        <f>AC66</f>
        <v>48.171105245156987</v>
      </c>
      <c r="AD73" s="5" t="s">
        <v>153</v>
      </c>
    </row>
    <row r="74" spans="2:30" x14ac:dyDescent="0.35">
      <c r="AB74" s="66" t="s">
        <v>177</v>
      </c>
      <c r="AC74" s="5">
        <v>2200.6999999999998</v>
      </c>
      <c r="AD74" s="5" t="s">
        <v>178</v>
      </c>
    </row>
    <row r="75" spans="2:30" ht="20" thickBot="1" x14ac:dyDescent="0.5">
      <c r="B75" s="225" t="s">
        <v>179</v>
      </c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AB75" s="253" t="s">
        <v>180</v>
      </c>
      <c r="AC75" s="8">
        <f>AC73/AC74</f>
        <v>2.1888992250264458E-2</v>
      </c>
      <c r="AD75" s="5" t="s">
        <v>181</v>
      </c>
    </row>
    <row r="76" spans="2:30" ht="15" thickTop="1" x14ac:dyDescent="0.35">
      <c r="AB76" s="253"/>
      <c r="AC76" s="8">
        <f>AC75*24*60*60</f>
        <v>1891.2089304228491</v>
      </c>
      <c r="AD76" s="5" t="s">
        <v>182</v>
      </c>
    </row>
    <row r="77" spans="2:30" x14ac:dyDescent="0.35">
      <c r="B77" s="242" t="s">
        <v>183</v>
      </c>
      <c r="C77" s="242"/>
      <c r="D77" s="242"/>
      <c r="E77" s="242"/>
      <c r="F77" s="242"/>
      <c r="G77" s="242"/>
      <c r="I77" s="242" t="s">
        <v>183</v>
      </c>
      <c r="J77" s="242"/>
      <c r="K77" s="242"/>
      <c r="L77" s="242"/>
      <c r="M77" s="242"/>
      <c r="N77" s="242"/>
      <c r="O77" s="242"/>
      <c r="P77" s="242"/>
      <c r="AB77" s="66" t="s">
        <v>184</v>
      </c>
      <c r="AC77" s="5">
        <v>120</v>
      </c>
      <c r="AD77" s="5" t="s">
        <v>152</v>
      </c>
    </row>
    <row r="78" spans="2:30" x14ac:dyDescent="0.35">
      <c r="B78" s="71" t="s">
        <v>185</v>
      </c>
      <c r="C78" s="254" t="s">
        <v>186</v>
      </c>
      <c r="D78" s="254"/>
      <c r="E78" s="71" t="s">
        <v>187</v>
      </c>
      <c r="F78" s="254" t="s">
        <v>188</v>
      </c>
      <c r="G78" s="254"/>
      <c r="I78" s="71" t="s">
        <v>189</v>
      </c>
      <c r="J78" s="71" t="s">
        <v>190</v>
      </c>
      <c r="K78" s="254" t="s">
        <v>188</v>
      </c>
      <c r="L78" s="254"/>
      <c r="M78" s="71" t="s">
        <v>187</v>
      </c>
      <c r="N78" s="71" t="s">
        <v>191</v>
      </c>
      <c r="O78" s="71" t="s">
        <v>192</v>
      </c>
      <c r="P78" s="71" t="s">
        <v>74</v>
      </c>
    </row>
    <row r="79" spans="2:30" ht="20" thickBot="1" x14ac:dyDescent="0.5">
      <c r="B79" s="5">
        <v>1</v>
      </c>
      <c r="C79" s="5">
        <v>4</v>
      </c>
      <c r="D79" s="5" t="s">
        <v>193</v>
      </c>
      <c r="E79" s="72">
        <f>'[1]Escenario 1'!E69</f>
        <v>6774</v>
      </c>
      <c r="F79" s="8">
        <f>(C148*C147)/C146</f>
        <v>15.737214611872146</v>
      </c>
      <c r="G79" s="5" t="s">
        <v>193</v>
      </c>
      <c r="I79" s="73">
        <v>1</v>
      </c>
      <c r="J79" s="73" t="s">
        <v>194</v>
      </c>
      <c r="K79" s="8">
        <f>+IF(F79/C79&lt;1,C79,IF(F79/C79&lt;10,F79,F79/(1+INT(F79/(C79*10)))))</f>
        <v>15.737214611872146</v>
      </c>
      <c r="L79" s="5" t="s">
        <v>193</v>
      </c>
      <c r="M79" s="72">
        <f t="shared" ref="M79:M103" si="3">E79*(K79/C79)^$D$105</f>
        <v>21701.156903190953</v>
      </c>
      <c r="N79" s="5">
        <f>+IF(B79=1,ROUNDUP(F79/K79,0),0)</f>
        <v>1</v>
      </c>
      <c r="O79" s="72">
        <f>M79*N79</f>
        <v>21701.156903190953</v>
      </c>
      <c r="P79" s="74">
        <f t="shared" ref="P79:P103" si="4">(O79/$O$104)</f>
        <v>5.5121401678205888E-2</v>
      </c>
      <c r="X79" s="252" t="s">
        <v>195</v>
      </c>
      <c r="Y79" s="252"/>
      <c r="Z79" s="252"/>
      <c r="AA79" s="252"/>
      <c r="AB79" s="252"/>
      <c r="AC79" s="252"/>
      <c r="AD79" s="252"/>
    </row>
    <row r="80" spans="2:30" ht="17" thickTop="1" x14ac:dyDescent="0.35">
      <c r="B80" s="5">
        <v>1</v>
      </c>
      <c r="C80" s="5">
        <v>200</v>
      </c>
      <c r="D80" s="5" t="s">
        <v>193</v>
      </c>
      <c r="E80" s="72">
        <f>'[1]Escenario 1'!E70</f>
        <v>2822.5</v>
      </c>
      <c r="F80" s="8">
        <f>C149*C148*60</f>
        <v>679.84767123287668</v>
      </c>
      <c r="G80" s="5" t="s">
        <v>193</v>
      </c>
      <c r="I80" s="73">
        <v>2</v>
      </c>
      <c r="J80" s="73" t="s">
        <v>196</v>
      </c>
      <c r="K80" s="8">
        <f>+IF(F80/C80&lt;1,C80,IF(F80/C80&lt;10,F80,F80/(1+INT(F80/(C80*10)))))</f>
        <v>679.84767123287668</v>
      </c>
      <c r="L80" s="5" t="s">
        <v>193</v>
      </c>
      <c r="M80" s="72">
        <f t="shared" si="3"/>
        <v>7985.6142295367554</v>
      </c>
      <c r="N80" s="5">
        <f>+IF(B80=1,ROUNDUP(F80/K80,0),0)</f>
        <v>1</v>
      </c>
      <c r="O80" s="72">
        <f>M80*N80</f>
        <v>7985.6142295367554</v>
      </c>
      <c r="P80" s="74">
        <f t="shared" si="4"/>
        <v>2.0283630571270053E-2</v>
      </c>
    </row>
    <row r="81" spans="2:30" ht="16.5" x14ac:dyDescent="0.45">
      <c r="B81" s="5">
        <v>1</v>
      </c>
      <c r="C81" s="5">
        <v>4</v>
      </c>
      <c r="D81" s="5" t="s">
        <v>197</v>
      </c>
      <c r="E81" s="72">
        <f>'[1]Escenario 1'!E71</f>
        <v>564.5</v>
      </c>
      <c r="F81" s="8">
        <f>(C151*C148*C150)/C146</f>
        <v>29.507277397260271</v>
      </c>
      <c r="G81" s="5" t="s">
        <v>197</v>
      </c>
      <c r="I81" s="73">
        <v>3</v>
      </c>
      <c r="J81" s="73" t="s">
        <v>198</v>
      </c>
      <c r="K81" s="8">
        <f t="shared" ref="K81:K103" si="5">+IF(F81/C81&lt;1,C81,IF(F81/C81&lt;10,F81,F81/(1+INT(F81/(C81*10)))))</f>
        <v>29.507277397260271</v>
      </c>
      <c r="L81" s="5" t="s">
        <v>197</v>
      </c>
      <c r="M81" s="72">
        <f t="shared" si="3"/>
        <v>3085.6930490457175</v>
      </c>
      <c r="N81" s="5">
        <f t="shared" ref="N81:N103" si="6">+IF(B81=1,ROUNDUP(F81/K81,0),0)</f>
        <v>1</v>
      </c>
      <c r="O81" s="72">
        <f t="shared" ref="O81:O103" si="7">M81*N81</f>
        <v>3085.6930490457175</v>
      </c>
      <c r="P81" s="74">
        <f t="shared" si="4"/>
        <v>7.8377261991542501E-3</v>
      </c>
      <c r="X81" s="221" t="s">
        <v>140</v>
      </c>
      <c r="Y81" s="48">
        <f>R28</f>
        <v>19.259039240514483</v>
      </c>
      <c r="Z81" s="28" t="s">
        <v>86</v>
      </c>
      <c r="AB81" s="221" t="s">
        <v>141</v>
      </c>
      <c r="AC81" s="221"/>
      <c r="AD81" s="221"/>
    </row>
    <row r="82" spans="2:30" ht="16.5" x14ac:dyDescent="0.35">
      <c r="B82" s="5">
        <v>1</v>
      </c>
      <c r="C82" s="5">
        <v>200</v>
      </c>
      <c r="D82" s="5" t="s">
        <v>147</v>
      </c>
      <c r="E82" s="72">
        <f>'[1]Escenario 1'!E72</f>
        <v>10000</v>
      </c>
      <c r="F82" s="8">
        <f>C148</f>
        <v>1133.0794520547945</v>
      </c>
      <c r="G82" s="5" t="s">
        <v>147</v>
      </c>
      <c r="I82" s="73">
        <v>4</v>
      </c>
      <c r="J82" s="73" t="s">
        <v>136</v>
      </c>
      <c r="K82" s="8">
        <f t="shared" si="5"/>
        <v>1133.0794520547945</v>
      </c>
      <c r="L82" s="5" t="s">
        <v>147</v>
      </c>
      <c r="M82" s="72">
        <f t="shared" si="3"/>
        <v>43676.297243828398</v>
      </c>
      <c r="N82" s="5">
        <f t="shared" si="6"/>
        <v>1</v>
      </c>
      <c r="O82" s="72">
        <f t="shared" si="7"/>
        <v>43676.297243828398</v>
      </c>
      <c r="P82" s="74">
        <f t="shared" si="4"/>
        <v>0.11093872713485527</v>
      </c>
      <c r="X82" s="221"/>
      <c r="Y82" s="48">
        <f>R29</f>
        <v>19259.039240514481</v>
      </c>
      <c r="Z82" s="5" t="s">
        <v>6</v>
      </c>
      <c r="AB82" s="253" t="s">
        <v>75</v>
      </c>
      <c r="AC82" s="5">
        <f>AC84*AC85*(AC86-AC87)/1000</f>
        <v>1610055.6805070105</v>
      </c>
      <c r="AD82" s="5" t="s">
        <v>146</v>
      </c>
    </row>
    <row r="83" spans="2:30" ht="16.5" x14ac:dyDescent="0.35">
      <c r="B83" s="5">
        <v>1</v>
      </c>
      <c r="C83" s="5">
        <v>1</v>
      </c>
      <c r="D83" s="5" t="s">
        <v>147</v>
      </c>
      <c r="E83" s="72">
        <f>'[1]Escenario 1'!E73</f>
        <v>564.5</v>
      </c>
      <c r="F83" s="8">
        <f>F79</f>
        <v>15.737214611872146</v>
      </c>
      <c r="G83" s="5" t="s">
        <v>147</v>
      </c>
      <c r="I83" s="73">
        <v>5</v>
      </c>
      <c r="J83" s="73" t="s">
        <v>199</v>
      </c>
      <c r="K83" s="8">
        <f t="shared" si="5"/>
        <v>7.8686073059360728</v>
      </c>
      <c r="L83" s="5" t="s">
        <v>147</v>
      </c>
      <c r="M83" s="72">
        <f t="shared" si="3"/>
        <v>3259.6962830318425</v>
      </c>
      <c r="N83" s="5">
        <f t="shared" si="6"/>
        <v>2</v>
      </c>
      <c r="O83" s="72">
        <f t="shared" si="7"/>
        <v>6519.3925660636851</v>
      </c>
      <c r="P83" s="74">
        <f t="shared" si="4"/>
        <v>1.6559396254080146E-2</v>
      </c>
      <c r="X83" s="62" t="s">
        <v>151</v>
      </c>
      <c r="Y83" s="28">
        <v>30</v>
      </c>
      <c r="Z83" s="28" t="s">
        <v>152</v>
      </c>
      <c r="AB83" s="253"/>
      <c r="AC83" s="8">
        <f>AC82/(24*60*60)</f>
        <v>18.63490370957188</v>
      </c>
      <c r="AD83" s="5" t="s">
        <v>153</v>
      </c>
    </row>
    <row r="84" spans="2:30" ht="16.5" x14ac:dyDescent="0.35">
      <c r="B84" s="5">
        <v>1</v>
      </c>
      <c r="C84" s="5">
        <f>G67</f>
        <v>43.5</v>
      </c>
      <c r="D84" s="5" t="s">
        <v>94</v>
      </c>
      <c r="E84" s="72">
        <f>'[1]Escenario 1'!E74</f>
        <v>6000</v>
      </c>
      <c r="F84" s="8">
        <f>G65</f>
        <v>245.89397831050226</v>
      </c>
      <c r="G84" s="5" t="s">
        <v>94</v>
      </c>
      <c r="I84" s="73">
        <v>6</v>
      </c>
      <c r="J84" s="75" t="s">
        <v>200</v>
      </c>
      <c r="K84" s="8">
        <f t="shared" si="5"/>
        <v>245.89397831050226</v>
      </c>
      <c r="L84" s="5" t="s">
        <v>94</v>
      </c>
      <c r="M84" s="72">
        <f t="shared" si="3"/>
        <v>26155.985708899305</v>
      </c>
      <c r="N84" s="5">
        <f t="shared" si="6"/>
        <v>1</v>
      </c>
      <c r="O84" s="72">
        <f t="shared" si="7"/>
        <v>26155.985708899305</v>
      </c>
      <c r="P84" s="74">
        <f t="shared" si="4"/>
        <v>6.6436761919253018E-2</v>
      </c>
      <c r="X84" s="62" t="s">
        <v>158</v>
      </c>
      <c r="Y84" s="28">
        <v>50</v>
      </c>
      <c r="Z84" s="28" t="s">
        <v>152</v>
      </c>
      <c r="AB84" s="66" t="s">
        <v>140</v>
      </c>
      <c r="AC84" s="8">
        <f>Y82</f>
        <v>19259.039240514481</v>
      </c>
      <c r="AD84" s="5" t="s">
        <v>6</v>
      </c>
    </row>
    <row r="85" spans="2:30" ht="16.5" x14ac:dyDescent="0.35">
      <c r="B85" s="5">
        <v>1</v>
      </c>
      <c r="C85" s="8">
        <f>C86</f>
        <v>1.4227753443683409</v>
      </c>
      <c r="D85" s="5" t="s">
        <v>147</v>
      </c>
      <c r="E85" s="72">
        <f>E87*0.25</f>
        <v>16125</v>
      </c>
      <c r="F85" s="8">
        <f>O73</f>
        <v>1.4227753443683409</v>
      </c>
      <c r="G85" s="5" t="s">
        <v>147</v>
      </c>
      <c r="I85" s="73">
        <v>7</v>
      </c>
      <c r="J85" s="75" t="s">
        <v>201</v>
      </c>
      <c r="K85" s="8">
        <f t="shared" si="5"/>
        <v>1.4227753443683409</v>
      </c>
      <c r="L85" s="5" t="s">
        <v>147</v>
      </c>
      <c r="M85" s="72">
        <v>16050</v>
      </c>
      <c r="N85" s="5">
        <f t="shared" si="6"/>
        <v>1</v>
      </c>
      <c r="O85" s="72">
        <v>16050</v>
      </c>
      <c r="P85" s="74">
        <f t="shared" si="4"/>
        <v>4.0767342537628391E-2</v>
      </c>
      <c r="AB85" s="66" t="s">
        <v>163</v>
      </c>
      <c r="AC85" s="5">
        <v>4180</v>
      </c>
      <c r="AD85" s="5" t="s">
        <v>164</v>
      </c>
    </row>
    <row r="86" spans="2:30" ht="16.5" x14ac:dyDescent="0.35">
      <c r="B86" s="5">
        <v>1</v>
      </c>
      <c r="C86" s="8">
        <f>E235</f>
        <v>1.4227753443683409</v>
      </c>
      <c r="D86" s="5" t="s">
        <v>147</v>
      </c>
      <c r="E86" s="72">
        <f>J235</f>
        <v>47000</v>
      </c>
      <c r="F86" s="8">
        <f>O73</f>
        <v>1.4227753443683409</v>
      </c>
      <c r="G86" s="5" t="s">
        <v>147</v>
      </c>
      <c r="I86" s="73">
        <v>8</v>
      </c>
      <c r="J86" s="75" t="s">
        <v>202</v>
      </c>
      <c r="K86" s="8">
        <f t="shared" si="5"/>
        <v>1.4227753443683409</v>
      </c>
      <c r="L86" s="5" t="s">
        <v>147</v>
      </c>
      <c r="M86" s="72">
        <f t="shared" si="3"/>
        <v>47000</v>
      </c>
      <c r="N86" s="5">
        <f>+IF(B86=1,ROUNDUP(F86/K86,0),0)</f>
        <v>1</v>
      </c>
      <c r="O86" s="72">
        <f>M86*N86</f>
        <v>47000</v>
      </c>
      <c r="P86" s="74">
        <f t="shared" si="4"/>
        <v>0.11938100306969061</v>
      </c>
      <c r="X86" s="221" t="s">
        <v>75</v>
      </c>
      <c r="Y86" s="28">
        <f>(AC82*$G$118)/1000</f>
        <v>587670.3233850589</v>
      </c>
      <c r="Z86" s="28" t="s">
        <v>272</v>
      </c>
      <c r="AB86" s="66" t="s">
        <v>170</v>
      </c>
      <c r="AC86" s="5">
        <f>Y84</f>
        <v>50</v>
      </c>
      <c r="AD86" s="5" t="s">
        <v>152</v>
      </c>
    </row>
    <row r="87" spans="2:30" ht="16.5" x14ac:dyDescent="0.35">
      <c r="B87" s="5">
        <v>1</v>
      </c>
      <c r="C87" s="8">
        <f>E239</f>
        <v>3.2098398734190803</v>
      </c>
      <c r="D87" s="5" t="s">
        <v>147</v>
      </c>
      <c r="E87" s="72">
        <f>J239</f>
        <v>64500</v>
      </c>
      <c r="F87" s="8">
        <f>O68</f>
        <v>3.2098398734190803</v>
      </c>
      <c r="G87" s="5" t="s">
        <v>147</v>
      </c>
      <c r="I87" s="73">
        <v>9</v>
      </c>
      <c r="J87" s="75" t="s">
        <v>203</v>
      </c>
      <c r="K87" s="8">
        <f t="shared" si="5"/>
        <v>3.2098398734190803</v>
      </c>
      <c r="L87" s="5" t="s">
        <v>147</v>
      </c>
      <c r="M87" s="72">
        <f t="shared" si="3"/>
        <v>64500</v>
      </c>
      <c r="N87" s="5">
        <f t="shared" si="6"/>
        <v>1</v>
      </c>
      <c r="O87" s="76">
        <f t="shared" si="7"/>
        <v>64500</v>
      </c>
      <c r="P87" s="74">
        <f t="shared" si="4"/>
        <v>0.16383137655308605</v>
      </c>
      <c r="X87" s="221"/>
      <c r="Y87" s="8">
        <f>AC90*$F$118</f>
        <v>447.23768902972512</v>
      </c>
      <c r="Z87" s="28" t="s">
        <v>255</v>
      </c>
      <c r="AB87" s="66" t="s">
        <v>174</v>
      </c>
      <c r="AC87" s="5">
        <f>Y83</f>
        <v>30</v>
      </c>
      <c r="AD87" s="5" t="s">
        <v>152</v>
      </c>
    </row>
    <row r="88" spans="2:30" ht="16.5" x14ac:dyDescent="0.35">
      <c r="B88" s="5">
        <v>1</v>
      </c>
      <c r="C88" s="8">
        <f>E247</f>
        <v>2.163918714258886</v>
      </c>
      <c r="D88" s="5" t="s">
        <v>147</v>
      </c>
      <c r="E88" s="72">
        <f>J247</f>
        <v>14400</v>
      </c>
      <c r="F88" s="8">
        <f>T65</f>
        <v>2.163918714258886</v>
      </c>
      <c r="G88" s="5" t="s">
        <v>147</v>
      </c>
      <c r="I88" s="73">
        <v>10</v>
      </c>
      <c r="J88" s="75" t="s">
        <v>204</v>
      </c>
      <c r="K88" s="8">
        <f t="shared" si="5"/>
        <v>2.163918714258886</v>
      </c>
      <c r="L88" s="5" t="s">
        <v>147</v>
      </c>
      <c r="M88" s="72">
        <f t="shared" si="3"/>
        <v>14400</v>
      </c>
      <c r="N88" s="5">
        <f t="shared" si="6"/>
        <v>1</v>
      </c>
      <c r="O88" s="77">
        <f t="shared" si="7"/>
        <v>14400</v>
      </c>
      <c r="P88" s="74">
        <f t="shared" si="4"/>
        <v>3.6576307323479676E-2</v>
      </c>
    </row>
    <row r="89" spans="2:30" ht="16.5" x14ac:dyDescent="0.35">
      <c r="B89" s="5">
        <v>1</v>
      </c>
      <c r="C89" s="8">
        <f>E248</f>
        <v>19.259039240514483</v>
      </c>
      <c r="D89" s="5" t="s">
        <v>147</v>
      </c>
      <c r="E89" s="72">
        <f>J248</f>
        <v>29500</v>
      </c>
      <c r="F89" s="8">
        <f>T72</f>
        <v>19.259039240514483</v>
      </c>
      <c r="G89" s="5" t="s">
        <v>147</v>
      </c>
      <c r="I89" s="73">
        <v>11</v>
      </c>
      <c r="J89" s="75" t="s">
        <v>205</v>
      </c>
      <c r="K89" s="8">
        <f t="shared" si="5"/>
        <v>19.259039240514483</v>
      </c>
      <c r="L89" s="5" t="s">
        <v>147</v>
      </c>
      <c r="M89" s="72">
        <f t="shared" si="3"/>
        <v>29500</v>
      </c>
      <c r="N89" s="5">
        <f>+IF(B89=1,ROUNDUP(F89/K89,0),0)</f>
        <v>1</v>
      </c>
      <c r="O89" s="77">
        <f>M89*N89</f>
        <v>29500</v>
      </c>
      <c r="P89" s="74">
        <f t="shared" si="4"/>
        <v>7.4930629586295178E-2</v>
      </c>
      <c r="AB89" s="239" t="s">
        <v>176</v>
      </c>
      <c r="AC89" s="239"/>
      <c r="AD89" s="239"/>
    </row>
    <row r="90" spans="2:30" ht="16.5" x14ac:dyDescent="0.35">
      <c r="B90" s="5">
        <v>1</v>
      </c>
      <c r="C90" s="8">
        <f>C220/1000</f>
        <v>1.5737214611872143</v>
      </c>
      <c r="D90" s="5" t="s">
        <v>193</v>
      </c>
      <c r="E90" s="72">
        <f>J220</f>
        <v>4780</v>
      </c>
      <c r="F90" s="8">
        <f>D28/24</f>
        <v>1.5737214611872146</v>
      </c>
      <c r="G90" s="5" t="s">
        <v>193</v>
      </c>
      <c r="I90" s="73">
        <v>12</v>
      </c>
      <c r="J90" s="75" t="s">
        <v>206</v>
      </c>
      <c r="K90" s="8">
        <f t="shared" si="5"/>
        <v>1.5737214611872146</v>
      </c>
      <c r="L90" s="5" t="s">
        <v>193</v>
      </c>
      <c r="M90" s="72">
        <f t="shared" si="3"/>
        <v>4780.0000000000009</v>
      </c>
      <c r="N90" s="5">
        <f t="shared" si="6"/>
        <v>1</v>
      </c>
      <c r="O90" s="77">
        <f t="shared" si="7"/>
        <v>4780.0000000000009</v>
      </c>
      <c r="P90" s="74">
        <f t="shared" si="4"/>
        <v>1.2141302014321729E-2</v>
      </c>
      <c r="AB90" s="66" t="s">
        <v>75</v>
      </c>
      <c r="AC90" s="70">
        <f>AC83</f>
        <v>18.63490370957188</v>
      </c>
      <c r="AD90" s="5" t="s">
        <v>153</v>
      </c>
    </row>
    <row r="91" spans="2:30" ht="16.5" x14ac:dyDescent="0.35">
      <c r="B91" s="5">
        <v>1</v>
      </c>
      <c r="C91" s="8">
        <f t="shared" ref="C91:C95" si="8">C221/1000</f>
        <v>9.245613584474885</v>
      </c>
      <c r="D91" s="5" t="s">
        <v>193</v>
      </c>
      <c r="E91" s="72">
        <f t="shared" ref="E91:E97" si="9">J221</f>
        <v>5230</v>
      </c>
      <c r="F91" s="8">
        <f>E28/24</f>
        <v>9.245613584474885</v>
      </c>
      <c r="G91" s="5" t="s">
        <v>193</v>
      </c>
      <c r="I91" s="73">
        <v>13</v>
      </c>
      <c r="J91" s="75" t="s">
        <v>207</v>
      </c>
      <c r="K91" s="8">
        <f t="shared" si="5"/>
        <v>9.245613584474885</v>
      </c>
      <c r="L91" s="5" t="s">
        <v>193</v>
      </c>
      <c r="M91" s="72">
        <f t="shared" si="3"/>
        <v>5230</v>
      </c>
      <c r="N91" s="5">
        <f>+IF(B91=1,ROUNDUP(F91/K91,0),0)</f>
        <v>1</v>
      </c>
      <c r="O91" s="77">
        <f>M91*N91</f>
        <v>5230</v>
      </c>
      <c r="P91" s="74">
        <f t="shared" si="4"/>
        <v>1.3284311618180465E-2</v>
      </c>
      <c r="AB91" s="66" t="s">
        <v>177</v>
      </c>
      <c r="AC91" s="5">
        <v>2200.6999999999998</v>
      </c>
      <c r="AD91" s="5" t="s">
        <v>178</v>
      </c>
    </row>
    <row r="92" spans="2:30" ht="16.5" x14ac:dyDescent="0.35">
      <c r="B92" s="5">
        <v>1</v>
      </c>
      <c r="C92" s="8">
        <f t="shared" si="8"/>
        <v>4.9178795662100443</v>
      </c>
      <c r="D92" s="5" t="s">
        <v>193</v>
      </c>
      <c r="E92" s="72">
        <f t="shared" si="9"/>
        <v>5000</v>
      </c>
      <c r="F92" s="8">
        <f>F28/24</f>
        <v>4.9178795662100452</v>
      </c>
      <c r="G92" s="5" t="s">
        <v>193</v>
      </c>
      <c r="I92" s="73">
        <v>14</v>
      </c>
      <c r="J92" s="75" t="s">
        <v>208</v>
      </c>
      <c r="K92" s="8">
        <f t="shared" si="5"/>
        <v>4.9178795662100452</v>
      </c>
      <c r="L92" s="5" t="s">
        <v>193</v>
      </c>
      <c r="M92" s="72">
        <f t="shared" si="3"/>
        <v>5000.0000000000009</v>
      </c>
      <c r="N92" s="5">
        <f t="shared" si="6"/>
        <v>1</v>
      </c>
      <c r="O92" s="77">
        <f t="shared" si="7"/>
        <v>5000.0000000000009</v>
      </c>
      <c r="P92" s="74">
        <f t="shared" si="4"/>
        <v>1.2700106709541557E-2</v>
      </c>
      <c r="AB92" s="253" t="s">
        <v>180</v>
      </c>
      <c r="AC92" s="8">
        <f>AC90/AC91</f>
        <v>8.46771650364515E-3</v>
      </c>
      <c r="AD92" s="5" t="s">
        <v>181</v>
      </c>
    </row>
    <row r="93" spans="2:30" ht="16.5" x14ac:dyDescent="0.35">
      <c r="B93" s="5">
        <v>1</v>
      </c>
      <c r="C93" s="8">
        <f t="shared" si="8"/>
        <v>9.8357591324200886</v>
      </c>
      <c r="D93" s="5" t="s">
        <v>193</v>
      </c>
      <c r="E93" s="72">
        <f t="shared" si="9"/>
        <v>5340</v>
      </c>
      <c r="F93" s="8">
        <f>I28/24</f>
        <v>9.8357591324200904</v>
      </c>
      <c r="G93" s="5" t="s">
        <v>193</v>
      </c>
      <c r="I93" s="73">
        <v>15</v>
      </c>
      <c r="J93" s="75" t="s">
        <v>209</v>
      </c>
      <c r="K93" s="8">
        <f t="shared" si="5"/>
        <v>9.8357591324200904</v>
      </c>
      <c r="L93" s="5" t="s">
        <v>193</v>
      </c>
      <c r="M93" s="72">
        <f t="shared" si="3"/>
        <v>5340.0000000000009</v>
      </c>
      <c r="N93" s="5">
        <f t="shared" si="6"/>
        <v>1</v>
      </c>
      <c r="O93" s="77">
        <f t="shared" si="7"/>
        <v>5340.0000000000009</v>
      </c>
      <c r="P93" s="74">
        <f t="shared" si="4"/>
        <v>1.3563713965790383E-2</v>
      </c>
      <c r="AB93" s="253"/>
      <c r="AC93" s="8">
        <f>AC92*24*60*60</f>
        <v>731.61070591494092</v>
      </c>
      <c r="AD93" s="5" t="s">
        <v>182</v>
      </c>
    </row>
    <row r="94" spans="2:30" ht="16.5" x14ac:dyDescent="0.35">
      <c r="B94" s="5">
        <v>1</v>
      </c>
      <c r="C94" s="8">
        <f t="shared" si="8"/>
        <v>0.93439711757990851</v>
      </c>
      <c r="D94" s="5" t="s">
        <v>193</v>
      </c>
      <c r="E94" s="72">
        <f t="shared" si="9"/>
        <v>4780</v>
      </c>
      <c r="F94" s="8">
        <f>L28/24</f>
        <v>0.93439711757990851</v>
      </c>
      <c r="G94" s="5" t="s">
        <v>193</v>
      </c>
      <c r="I94" s="73">
        <v>16</v>
      </c>
      <c r="J94" s="75" t="s">
        <v>210</v>
      </c>
      <c r="K94" s="8">
        <f t="shared" si="5"/>
        <v>0.93439711757990851</v>
      </c>
      <c r="L94" s="5" t="s">
        <v>193</v>
      </c>
      <c r="M94" s="72">
        <f t="shared" si="3"/>
        <v>4780</v>
      </c>
      <c r="N94" s="5">
        <f t="shared" si="6"/>
        <v>1</v>
      </c>
      <c r="O94" s="77">
        <f t="shared" si="7"/>
        <v>4780</v>
      </c>
      <c r="P94" s="74">
        <f t="shared" si="4"/>
        <v>1.2141302014321726E-2</v>
      </c>
      <c r="AB94" s="66" t="s">
        <v>184</v>
      </c>
      <c r="AC94" s="5">
        <v>120</v>
      </c>
      <c r="AD94" s="5" t="s">
        <v>152</v>
      </c>
    </row>
    <row r="95" spans="2:30" ht="16.5" x14ac:dyDescent="0.35">
      <c r="B95" s="5">
        <v>1</v>
      </c>
      <c r="C95" s="8">
        <f t="shared" si="8"/>
        <v>0.93439711757990851</v>
      </c>
      <c r="D95" s="5" t="s">
        <v>193</v>
      </c>
      <c r="E95" s="72">
        <f t="shared" si="9"/>
        <v>4780</v>
      </c>
      <c r="F95" s="8">
        <f>M28/24</f>
        <v>0.93439711757990851</v>
      </c>
      <c r="G95" s="5" t="s">
        <v>193</v>
      </c>
      <c r="I95" s="73">
        <v>17</v>
      </c>
      <c r="J95" s="75" t="s">
        <v>211</v>
      </c>
      <c r="K95" s="8">
        <f t="shared" si="5"/>
        <v>0.93439711757990851</v>
      </c>
      <c r="L95" s="5" t="s">
        <v>193</v>
      </c>
      <c r="M95" s="72">
        <f t="shared" si="3"/>
        <v>4780</v>
      </c>
      <c r="N95" s="5">
        <f t="shared" si="6"/>
        <v>1</v>
      </c>
      <c r="O95" s="77">
        <f t="shared" si="7"/>
        <v>4780</v>
      </c>
      <c r="P95" s="74">
        <f t="shared" si="4"/>
        <v>1.2141302014321726E-2</v>
      </c>
    </row>
    <row r="96" spans="2:30" ht="16.5" x14ac:dyDescent="0.35">
      <c r="B96" s="5">
        <v>1</v>
      </c>
      <c r="C96" s="8">
        <v>1.6937801718670722</v>
      </c>
      <c r="D96" s="5" t="s">
        <v>193</v>
      </c>
      <c r="E96" s="72">
        <f t="shared" si="9"/>
        <v>4780</v>
      </c>
      <c r="F96" s="8">
        <f>O28/24</f>
        <v>1.4227753443683409</v>
      </c>
      <c r="G96" s="5" t="s">
        <v>193</v>
      </c>
      <c r="I96" s="73">
        <v>18</v>
      </c>
      <c r="J96" s="75" t="s">
        <v>212</v>
      </c>
      <c r="K96" s="8">
        <f t="shared" si="5"/>
        <v>1.6937801718670722</v>
      </c>
      <c r="L96" s="5" t="s">
        <v>193</v>
      </c>
      <c r="M96" s="72">
        <f t="shared" si="3"/>
        <v>4780</v>
      </c>
      <c r="N96" s="5">
        <f t="shared" si="6"/>
        <v>1</v>
      </c>
      <c r="O96" s="77">
        <f t="shared" si="7"/>
        <v>4780</v>
      </c>
      <c r="P96" s="74">
        <f t="shared" si="4"/>
        <v>1.2141302014321726E-2</v>
      </c>
    </row>
    <row r="97" spans="2:16" ht="16.5" x14ac:dyDescent="0.35">
      <c r="B97" s="5">
        <v>1</v>
      </c>
      <c r="C97" s="8">
        <v>1.5162447195268898</v>
      </c>
      <c r="D97" s="5" t="s">
        <v>193</v>
      </c>
      <c r="E97" s="72">
        <f t="shared" si="9"/>
        <v>4560</v>
      </c>
      <c r="F97" s="8">
        <f>P28/24</f>
        <v>0.62386580883751908</v>
      </c>
      <c r="G97" s="5" t="s">
        <v>193</v>
      </c>
      <c r="I97" s="73">
        <v>19</v>
      </c>
      <c r="J97" s="75" t="s">
        <v>213</v>
      </c>
      <c r="K97" s="8">
        <f t="shared" si="5"/>
        <v>1.5162447195268898</v>
      </c>
      <c r="L97" s="5" t="s">
        <v>193</v>
      </c>
      <c r="M97" s="72">
        <f t="shared" si="3"/>
        <v>4560</v>
      </c>
      <c r="N97" s="5">
        <f t="shared" si="6"/>
        <v>1</v>
      </c>
      <c r="O97" s="77">
        <f t="shared" si="7"/>
        <v>4560</v>
      </c>
      <c r="P97" s="74">
        <f t="shared" si="4"/>
        <v>1.1582497319101898E-2</v>
      </c>
    </row>
    <row r="98" spans="2:16" ht="16.5" x14ac:dyDescent="0.35">
      <c r="B98" s="5">
        <v>1</v>
      </c>
      <c r="C98" s="8">
        <f>C229/1000</f>
        <v>0.80245996835476996</v>
      </c>
      <c r="D98" s="5" t="s">
        <v>193</v>
      </c>
      <c r="E98" s="72">
        <f>J229</f>
        <v>4780</v>
      </c>
      <c r="F98" s="8">
        <f>R28/24</f>
        <v>0.80245996835477007</v>
      </c>
      <c r="G98" s="5" t="s">
        <v>193</v>
      </c>
      <c r="I98" s="73">
        <v>20</v>
      </c>
      <c r="J98" s="75" t="s">
        <v>214</v>
      </c>
      <c r="K98" s="8">
        <f t="shared" si="5"/>
        <v>0.80245996835477007</v>
      </c>
      <c r="L98" s="5" t="s">
        <v>193</v>
      </c>
      <c r="M98" s="72">
        <f t="shared" si="3"/>
        <v>4780.0000000000009</v>
      </c>
      <c r="N98" s="5">
        <f t="shared" si="6"/>
        <v>1</v>
      </c>
      <c r="O98" s="77">
        <f t="shared" si="7"/>
        <v>4780.0000000000009</v>
      </c>
      <c r="P98" s="74">
        <f t="shared" si="4"/>
        <v>1.2141302014321729E-2</v>
      </c>
    </row>
    <row r="99" spans="2:16" ht="16.5" x14ac:dyDescent="0.35">
      <c r="B99" s="5">
        <v>1</v>
      </c>
      <c r="C99" s="8">
        <f>C230/1000</f>
        <v>0.79890953553082178</v>
      </c>
      <c r="D99" s="5" t="s">
        <v>193</v>
      </c>
      <c r="E99" s="72">
        <f t="shared" ref="E99:E100" si="10">J230</f>
        <v>4780</v>
      </c>
      <c r="F99" s="8">
        <f>S28/24</f>
        <v>0.52550814454734263</v>
      </c>
      <c r="G99" s="5" t="s">
        <v>193</v>
      </c>
      <c r="I99" s="73">
        <v>21</v>
      </c>
      <c r="J99" s="75" t="s">
        <v>215</v>
      </c>
      <c r="K99" s="8">
        <f t="shared" si="5"/>
        <v>0.79890953553082178</v>
      </c>
      <c r="L99" s="5" t="s">
        <v>193</v>
      </c>
      <c r="M99" s="72">
        <f t="shared" si="3"/>
        <v>4780</v>
      </c>
      <c r="N99" s="5">
        <f t="shared" si="6"/>
        <v>1</v>
      </c>
      <c r="O99" s="77">
        <f t="shared" si="7"/>
        <v>4780</v>
      </c>
      <c r="P99" s="74">
        <f t="shared" si="4"/>
        <v>1.2141302014321726E-2</v>
      </c>
    </row>
    <row r="100" spans="2:16" ht="16.5" x14ac:dyDescent="0.35">
      <c r="B100" s="5">
        <v>1</v>
      </c>
      <c r="C100" s="8">
        <f>C231/1000</f>
        <v>9.0163279760786919E-2</v>
      </c>
      <c r="D100" s="5" t="s">
        <v>193</v>
      </c>
      <c r="E100" s="72">
        <f t="shared" si="10"/>
        <v>4780</v>
      </c>
      <c r="F100" s="8">
        <f>T28/24</f>
        <v>9.0163279760786919E-2</v>
      </c>
      <c r="G100" s="5" t="s">
        <v>193</v>
      </c>
      <c r="I100" s="73">
        <v>22</v>
      </c>
      <c r="J100" s="78" t="s">
        <v>216</v>
      </c>
      <c r="K100" s="8">
        <f t="shared" si="5"/>
        <v>9.0163279760786919E-2</v>
      </c>
      <c r="L100" s="5" t="s">
        <v>193</v>
      </c>
      <c r="M100" s="72">
        <f t="shared" si="3"/>
        <v>4780</v>
      </c>
      <c r="N100" s="5">
        <f t="shared" si="6"/>
        <v>1</v>
      </c>
      <c r="O100" s="77">
        <f t="shared" si="7"/>
        <v>4780</v>
      </c>
      <c r="P100" s="74">
        <f t="shared" si="4"/>
        <v>1.2141302014321726E-2</v>
      </c>
    </row>
    <row r="101" spans="2:16" ht="16.5" x14ac:dyDescent="0.35">
      <c r="B101" s="5">
        <v>1</v>
      </c>
      <c r="C101" s="8">
        <f>C84</f>
        <v>43.5</v>
      </c>
      <c r="D101" s="5" t="s">
        <v>94</v>
      </c>
      <c r="E101" s="72">
        <f>E84</f>
        <v>6000</v>
      </c>
      <c r="F101" s="8">
        <f>C73</f>
        <v>35.569383609208522</v>
      </c>
      <c r="G101" s="5" t="s">
        <v>94</v>
      </c>
      <c r="I101" s="73">
        <v>23</v>
      </c>
      <c r="J101" s="75" t="s">
        <v>200</v>
      </c>
      <c r="K101" s="79">
        <f t="shared" si="5"/>
        <v>43.5</v>
      </c>
      <c r="L101" s="5" t="s">
        <v>94</v>
      </c>
      <c r="M101" s="77">
        <f t="shared" si="3"/>
        <v>6000</v>
      </c>
      <c r="N101" s="80">
        <f t="shared" si="6"/>
        <v>1</v>
      </c>
      <c r="O101" s="77">
        <f t="shared" si="7"/>
        <v>6000</v>
      </c>
      <c r="P101" s="81">
        <f t="shared" si="4"/>
        <v>1.5240128051449866E-2</v>
      </c>
    </row>
    <row r="102" spans="2:16" ht="16.5" x14ac:dyDescent="0.35">
      <c r="B102" s="5">
        <v>1</v>
      </c>
      <c r="C102" s="8">
        <v>0.2</v>
      </c>
      <c r="D102" s="5" t="s">
        <v>94</v>
      </c>
      <c r="E102" s="72">
        <v>20000</v>
      </c>
      <c r="F102" s="8">
        <f>Y69</f>
        <v>0.28758400166265052</v>
      </c>
      <c r="G102" s="5" t="s">
        <v>94</v>
      </c>
      <c r="I102" s="73">
        <v>24</v>
      </c>
      <c r="J102" s="73" t="s">
        <v>217</v>
      </c>
      <c r="K102" s="8">
        <f t="shared" si="5"/>
        <v>0.28758400166265052</v>
      </c>
      <c r="L102" s="5" t="s">
        <v>94</v>
      </c>
      <c r="M102" s="72">
        <f t="shared" si="3"/>
        <v>27233.566082897614</v>
      </c>
      <c r="N102" s="5">
        <f t="shared" si="6"/>
        <v>1</v>
      </c>
      <c r="O102" s="77">
        <f t="shared" si="7"/>
        <v>27233.566082897614</v>
      </c>
      <c r="P102" s="81">
        <f t="shared" si="4"/>
        <v>6.9173839066830264E-2</v>
      </c>
    </row>
    <row r="103" spans="2:16" ht="17" thickBot="1" x14ac:dyDescent="0.4">
      <c r="B103" s="5">
        <v>1</v>
      </c>
      <c r="C103" s="8">
        <v>0.05</v>
      </c>
      <c r="D103" s="5" t="s">
        <v>147</v>
      </c>
      <c r="E103" s="72">
        <v>10000</v>
      </c>
      <c r="F103" s="8">
        <f>K71</f>
        <v>0.15596645220937977</v>
      </c>
      <c r="G103" s="5" t="s">
        <v>147</v>
      </c>
      <c r="I103" s="73">
        <v>25</v>
      </c>
      <c r="J103" s="73" t="s">
        <v>167</v>
      </c>
      <c r="K103" s="8">
        <f t="shared" si="5"/>
        <v>0.15596645220937977</v>
      </c>
      <c r="L103" s="5" t="s">
        <v>147</v>
      </c>
      <c r="M103" s="72">
        <f t="shared" si="3"/>
        <v>26299.773643502907</v>
      </c>
      <c r="N103" s="5">
        <f t="shared" si="6"/>
        <v>1</v>
      </c>
      <c r="O103" s="77">
        <f t="shared" si="7"/>
        <v>26299.773643502907</v>
      </c>
      <c r="P103" s="81">
        <f t="shared" si="4"/>
        <v>6.680198634185508E-2</v>
      </c>
    </row>
    <row r="104" spans="2:16" ht="15" thickBot="1" x14ac:dyDescent="0.4">
      <c r="O104" s="82">
        <f>SUM(O79:O103)</f>
        <v>393697.47942696529</v>
      </c>
      <c r="P104" s="83">
        <f>SUM(P79:P101)</f>
        <v>0.86402417459131486</v>
      </c>
    </row>
    <row r="105" spans="2:16" x14ac:dyDescent="0.35">
      <c r="B105" s="250" t="s">
        <v>218</v>
      </c>
      <c r="C105" s="250"/>
      <c r="D105" s="73">
        <v>0.85</v>
      </c>
      <c r="E105" s="73"/>
    </row>
    <row r="106" spans="2:16" x14ac:dyDescent="0.35">
      <c r="B106" s="251" t="s">
        <v>219</v>
      </c>
      <c r="C106" s="251"/>
      <c r="D106" s="251"/>
      <c r="E106" s="73">
        <f>0.73+2.07+2.11+1.91+2.29+1.36</f>
        <v>10.469999999999999</v>
      </c>
      <c r="I106" s="242" t="s">
        <v>220</v>
      </c>
      <c r="J106" s="242"/>
      <c r="K106" s="242"/>
      <c r="L106" s="242"/>
      <c r="M106" s="242"/>
    </row>
    <row r="107" spans="2:16" x14ac:dyDescent="0.35">
      <c r="I107" s="71" t="s">
        <v>189</v>
      </c>
      <c r="J107" s="71" t="s">
        <v>190</v>
      </c>
      <c r="K107" s="71" t="s">
        <v>221</v>
      </c>
      <c r="L107" s="71" t="s">
        <v>222</v>
      </c>
      <c r="M107" s="71" t="s">
        <v>74</v>
      </c>
    </row>
    <row r="108" spans="2:16" x14ac:dyDescent="0.35">
      <c r="B108" s="250" t="s">
        <v>223</v>
      </c>
      <c r="C108" s="250"/>
      <c r="D108" s="250"/>
      <c r="I108" s="73">
        <v>1</v>
      </c>
      <c r="J108" s="73" t="s">
        <v>224</v>
      </c>
      <c r="K108" s="73">
        <v>1</v>
      </c>
      <c r="L108" s="84">
        <f>O104</f>
        <v>393697.47942696529</v>
      </c>
      <c r="M108" s="74">
        <f>(L108/$L$121)</f>
        <v>0.24390243902439024</v>
      </c>
    </row>
    <row r="109" spans="2:16" ht="16.5" x14ac:dyDescent="0.35">
      <c r="B109" s="85" t="s">
        <v>136</v>
      </c>
      <c r="C109" s="28">
        <f>'[1]Escenario 2'!C90</f>
        <v>50</v>
      </c>
      <c r="D109" s="5" t="s">
        <v>160</v>
      </c>
      <c r="I109" s="73">
        <v>2</v>
      </c>
      <c r="J109" s="73" t="s">
        <v>225</v>
      </c>
      <c r="K109" s="73">
        <v>0.38</v>
      </c>
      <c r="L109" s="84">
        <f>K109*$L$108</f>
        <v>149605.04218224681</v>
      </c>
      <c r="M109" s="74">
        <f t="shared" ref="M109:M120" si="11">(L109/$L$121)</f>
        <v>9.2682926829268292E-2</v>
      </c>
    </row>
    <row r="110" spans="2:16" ht="16.5" x14ac:dyDescent="0.35">
      <c r="B110" s="85" t="s">
        <v>12</v>
      </c>
      <c r="C110" s="28">
        <f>'[1]Escenario 2'!C91</f>
        <v>0.05</v>
      </c>
      <c r="D110" s="5" t="s">
        <v>160</v>
      </c>
      <c r="I110" s="73">
        <v>3</v>
      </c>
      <c r="J110" s="73" t="s">
        <v>226</v>
      </c>
      <c r="K110" s="73">
        <v>0.12</v>
      </c>
      <c r="L110" s="84">
        <f>K110*$L$108</f>
        <v>47243.697531235834</v>
      </c>
      <c r="M110" s="74">
        <f t="shared" si="11"/>
        <v>2.9268292682926828E-2</v>
      </c>
    </row>
    <row r="111" spans="2:16" ht="16.5" x14ac:dyDescent="0.45">
      <c r="B111" s="86" t="s">
        <v>227</v>
      </c>
      <c r="C111" s="28">
        <f>'[1]Escenario 2'!C92</f>
        <v>0.1</v>
      </c>
      <c r="D111" s="5" t="s">
        <v>228</v>
      </c>
      <c r="I111" s="73">
        <v>4</v>
      </c>
      <c r="J111" s="73" t="s">
        <v>229</v>
      </c>
      <c r="K111" s="73">
        <v>0.31</v>
      </c>
      <c r="L111" s="84">
        <f>K111*$L$108</f>
        <v>122046.21862235924</v>
      </c>
      <c r="M111" s="74">
        <f t="shared" si="11"/>
        <v>7.5609756097560973E-2</v>
      </c>
    </row>
    <row r="112" spans="2:16" x14ac:dyDescent="0.35">
      <c r="B112" s="85" t="s">
        <v>230</v>
      </c>
      <c r="C112" s="28">
        <f>'[1]Escenario 2'!C93</f>
        <v>0.3</v>
      </c>
      <c r="D112" s="5" t="s">
        <v>228</v>
      </c>
      <c r="I112" s="73">
        <v>5</v>
      </c>
      <c r="J112" s="73" t="s">
        <v>231</v>
      </c>
      <c r="K112" s="73">
        <v>0.1</v>
      </c>
      <c r="L112" s="84">
        <f t="shared" ref="L112:L120" si="12">K112*$L$108</f>
        <v>39369.747942696529</v>
      </c>
      <c r="M112" s="74">
        <f t="shared" si="11"/>
        <v>2.4390243902439025E-2</v>
      </c>
    </row>
    <row r="113" spans="2:13" x14ac:dyDescent="0.35">
      <c r="B113" s="85" t="s">
        <v>156</v>
      </c>
      <c r="C113" s="28">
        <f>'[1]Escenario 2'!C94</f>
        <v>0.25</v>
      </c>
      <c r="D113" s="5" t="s">
        <v>232</v>
      </c>
      <c r="I113" s="73">
        <v>6</v>
      </c>
      <c r="J113" s="73" t="s">
        <v>233</v>
      </c>
      <c r="K113" s="73">
        <v>0.28999999999999998</v>
      </c>
      <c r="L113" s="84">
        <f t="shared" si="12"/>
        <v>114172.26903381993</v>
      </c>
      <c r="M113" s="74">
        <f t="shared" si="11"/>
        <v>7.0731707317073164E-2</v>
      </c>
    </row>
    <row r="114" spans="2:13" x14ac:dyDescent="0.35">
      <c r="B114" s="85" t="s">
        <v>234</v>
      </c>
      <c r="C114" s="28">
        <f>'[1]Escenario 2'!C95</f>
        <v>10</v>
      </c>
      <c r="D114" s="5" t="s">
        <v>228</v>
      </c>
      <c r="I114" s="73">
        <v>7</v>
      </c>
      <c r="J114" s="73" t="s">
        <v>235</v>
      </c>
      <c r="K114" s="73">
        <v>0.1</v>
      </c>
      <c r="L114" s="84">
        <f t="shared" si="12"/>
        <v>39369.747942696529</v>
      </c>
      <c r="M114" s="74">
        <f t="shared" si="11"/>
        <v>2.4390243902439025E-2</v>
      </c>
    </row>
    <row r="115" spans="2:13" ht="16.5" x14ac:dyDescent="0.35">
      <c r="B115" s="85" t="s">
        <v>236</v>
      </c>
      <c r="C115" s="28">
        <f>'[1]Escenario 2'!C96</f>
        <v>0.05</v>
      </c>
      <c r="D115" s="5" t="s">
        <v>160</v>
      </c>
      <c r="I115" s="73">
        <v>8</v>
      </c>
      <c r="J115" s="73" t="s">
        <v>237</v>
      </c>
      <c r="K115" s="73">
        <v>0.54</v>
      </c>
      <c r="L115" s="84">
        <f t="shared" si="12"/>
        <v>212596.63889056127</v>
      </c>
      <c r="M115" s="74">
        <f t="shared" si="11"/>
        <v>0.13170731707317074</v>
      </c>
    </row>
    <row r="116" spans="2:13" x14ac:dyDescent="0.35">
      <c r="B116" s="85" t="s">
        <v>168</v>
      </c>
      <c r="C116" s="28">
        <f>'[1]Escenario 2'!C97</f>
        <v>0.5</v>
      </c>
      <c r="D116" s="5" t="s">
        <v>228</v>
      </c>
      <c r="I116" s="73">
        <v>9</v>
      </c>
      <c r="J116" s="73" t="s">
        <v>238</v>
      </c>
      <c r="K116" s="73">
        <v>0.06</v>
      </c>
      <c r="L116" s="84">
        <f t="shared" si="12"/>
        <v>23621.848765617917</v>
      </c>
      <c r="M116" s="74">
        <f t="shared" si="11"/>
        <v>1.4634146341463414E-2</v>
      </c>
    </row>
    <row r="117" spans="2:13" ht="16.5" x14ac:dyDescent="0.35">
      <c r="B117" s="85" t="s">
        <v>14</v>
      </c>
      <c r="C117" s="5">
        <v>0.6</v>
      </c>
      <c r="D117" s="5" t="s">
        <v>160</v>
      </c>
      <c r="E117" s="14"/>
      <c r="F117" s="58" t="s">
        <v>239</v>
      </c>
      <c r="G117" s="58" t="s">
        <v>240</v>
      </c>
      <c r="I117" s="73">
        <v>10</v>
      </c>
      <c r="J117" s="73" t="s">
        <v>241</v>
      </c>
      <c r="K117" s="73">
        <v>0.32</v>
      </c>
      <c r="L117" s="84">
        <f t="shared" si="12"/>
        <v>125983.1934166289</v>
      </c>
      <c r="M117" s="74">
        <f t="shared" si="11"/>
        <v>7.8048780487804878E-2</v>
      </c>
    </row>
    <row r="118" spans="2:13" x14ac:dyDescent="0.35">
      <c r="B118" s="87" t="s">
        <v>242</v>
      </c>
      <c r="C118" s="88">
        <v>0.14000000000000001</v>
      </c>
      <c r="D118" s="88" t="s">
        <v>228</v>
      </c>
      <c r="F118" s="5">
        <v>24</v>
      </c>
      <c r="G118" s="5">
        <v>365</v>
      </c>
      <c r="I118" s="73">
        <v>11</v>
      </c>
      <c r="J118" s="73" t="s">
        <v>243</v>
      </c>
      <c r="K118" s="73">
        <v>0.34</v>
      </c>
      <c r="L118" s="84">
        <f t="shared" si="12"/>
        <v>133857.14300516821</v>
      </c>
      <c r="M118" s="74">
        <f t="shared" si="11"/>
        <v>8.2926829268292687E-2</v>
      </c>
    </row>
    <row r="119" spans="2:13" x14ac:dyDescent="0.35">
      <c r="B119" s="250" t="s">
        <v>244</v>
      </c>
      <c r="C119" s="250"/>
      <c r="D119" s="250"/>
      <c r="E119" s="14"/>
      <c r="I119" s="73">
        <v>12</v>
      </c>
      <c r="J119" s="73" t="s">
        <v>245</v>
      </c>
      <c r="K119" s="73">
        <v>0.18</v>
      </c>
      <c r="L119" s="84">
        <f t="shared" si="12"/>
        <v>70865.546296853747</v>
      </c>
      <c r="M119" s="74">
        <f t="shared" si="11"/>
        <v>4.3902439024390241E-2</v>
      </c>
    </row>
    <row r="120" spans="2:13" ht="17" thickBot="1" x14ac:dyDescent="0.4">
      <c r="B120" s="89" t="s">
        <v>246</v>
      </c>
      <c r="C120" s="5">
        <v>19</v>
      </c>
      <c r="D120" s="5" t="s">
        <v>247</v>
      </c>
      <c r="I120" s="73">
        <v>13</v>
      </c>
      <c r="J120" s="73" t="s">
        <v>248</v>
      </c>
      <c r="K120" s="73">
        <v>0.36</v>
      </c>
      <c r="L120" s="90">
        <f t="shared" si="12"/>
        <v>141731.09259370749</v>
      </c>
      <c r="M120" s="81">
        <f t="shared" si="11"/>
        <v>8.7804878048780483E-2</v>
      </c>
    </row>
    <row r="121" spans="2:13" ht="15" thickBot="1" x14ac:dyDescent="0.4">
      <c r="B121" s="243" t="s">
        <v>249</v>
      </c>
      <c r="C121" s="8">
        <f>(C120*C148)/1000</f>
        <v>21.528509589041096</v>
      </c>
      <c r="D121" s="5" t="s">
        <v>153</v>
      </c>
      <c r="E121" s="3"/>
      <c r="L121" s="82">
        <f>SUM(L108:L120)</f>
        <v>1614159.6656505577</v>
      </c>
      <c r="M121" s="91">
        <f>SUM(M108:M120)</f>
        <v>1</v>
      </c>
    </row>
    <row r="122" spans="2:13" x14ac:dyDescent="0.35">
      <c r="B122" s="244"/>
      <c r="C122" s="8">
        <f>(C121*F118)</f>
        <v>516.68423013698634</v>
      </c>
      <c r="D122" s="5" t="s">
        <v>250</v>
      </c>
    </row>
    <row r="123" spans="2:13" ht="16.5" x14ac:dyDescent="0.35">
      <c r="B123" s="89" t="s">
        <v>251</v>
      </c>
      <c r="C123" s="5">
        <v>1</v>
      </c>
      <c r="D123" s="5" t="s">
        <v>252</v>
      </c>
      <c r="I123" s="242" t="s">
        <v>253</v>
      </c>
      <c r="J123" s="242"/>
      <c r="K123" s="242"/>
      <c r="L123" s="242"/>
      <c r="M123" s="242"/>
    </row>
    <row r="124" spans="2:13" x14ac:dyDescent="0.35">
      <c r="B124" s="243" t="s">
        <v>254</v>
      </c>
      <c r="C124" s="8">
        <f>C123*O73</f>
        <v>1.4227753443683409</v>
      </c>
      <c r="D124" s="5" t="s">
        <v>255</v>
      </c>
      <c r="I124" s="92" t="s">
        <v>189</v>
      </c>
      <c r="J124" s="92" t="s">
        <v>190</v>
      </c>
      <c r="K124" s="92" t="s">
        <v>221</v>
      </c>
      <c r="L124" s="92" t="s">
        <v>222</v>
      </c>
      <c r="M124" s="93" t="s">
        <v>74</v>
      </c>
    </row>
    <row r="125" spans="2:13" x14ac:dyDescent="0.35">
      <c r="B125" s="244"/>
      <c r="C125" s="8">
        <f>C124*F118</f>
        <v>34.146608264840182</v>
      </c>
      <c r="D125" s="5" t="s">
        <v>250</v>
      </c>
      <c r="I125" s="73">
        <v>1</v>
      </c>
      <c r="J125" s="73" t="s">
        <v>256</v>
      </c>
      <c r="K125" s="73">
        <v>10</v>
      </c>
      <c r="L125" s="73"/>
      <c r="M125" s="73"/>
    </row>
    <row r="126" spans="2:13" ht="16.5" x14ac:dyDescent="0.35">
      <c r="B126" s="89" t="s">
        <v>257</v>
      </c>
      <c r="C126" s="5">
        <v>1</v>
      </c>
      <c r="D126" s="5" t="s">
        <v>252</v>
      </c>
      <c r="I126" s="73">
        <v>2</v>
      </c>
      <c r="J126" s="73" t="s">
        <v>258</v>
      </c>
      <c r="K126" s="73"/>
      <c r="L126" s="84">
        <f>(L121-L114)/K125</f>
        <v>157478.99177078612</v>
      </c>
      <c r="M126" s="74">
        <f>(L126/$L$130)</f>
        <v>0.82484431063636743</v>
      </c>
    </row>
    <row r="127" spans="2:13" x14ac:dyDescent="0.35">
      <c r="B127" s="243" t="s">
        <v>259</v>
      </c>
      <c r="C127" s="8">
        <f>C126*O68</f>
        <v>3.2098398734190803</v>
      </c>
      <c r="D127" s="5" t="s">
        <v>255</v>
      </c>
      <c r="I127" s="73">
        <v>3</v>
      </c>
      <c r="J127" s="73" t="s">
        <v>260</v>
      </c>
      <c r="K127" s="73">
        <v>0.01</v>
      </c>
      <c r="L127" s="84">
        <f>K127*$L$126</f>
        <v>1574.7899177078612</v>
      </c>
      <c r="M127" s="74">
        <f>(L127/$L$130)</f>
        <v>8.2484431063636742E-3</v>
      </c>
    </row>
    <row r="128" spans="2:13" x14ac:dyDescent="0.35">
      <c r="B128" s="244"/>
      <c r="C128" s="8">
        <f>C127*F118</f>
        <v>77.03615696205793</v>
      </c>
      <c r="D128" s="5" t="s">
        <v>250</v>
      </c>
      <c r="I128" s="73">
        <v>4</v>
      </c>
      <c r="J128" s="73" t="s">
        <v>261</v>
      </c>
      <c r="K128" s="73">
        <v>6.0000000000000001E-3</v>
      </c>
      <c r="L128" s="84">
        <f>K128*$L$126</f>
        <v>944.87395062471671</v>
      </c>
      <c r="M128" s="74">
        <f>(L128/$L$130)</f>
        <v>4.9490658638182044E-3</v>
      </c>
    </row>
    <row r="129" spans="2:31" ht="15" thickBot="1" x14ac:dyDescent="0.4">
      <c r="B129" s="89" t="s">
        <v>262</v>
      </c>
      <c r="C129" s="8">
        <f>C125+C122+C128</f>
        <v>627.86699536388448</v>
      </c>
      <c r="D129" s="5" t="s">
        <v>250</v>
      </c>
      <c r="I129" s="73">
        <v>5</v>
      </c>
      <c r="J129" s="73" t="s">
        <v>263</v>
      </c>
      <c r="K129" s="73">
        <v>0.21</v>
      </c>
      <c r="L129" s="90">
        <f>K129*SUM(L108:L119)/K125</f>
        <v>30921.000034193858</v>
      </c>
      <c r="M129" s="81">
        <f>(L129/$L$130)</f>
        <v>0.16195818039345075</v>
      </c>
    </row>
    <row r="130" spans="2:31" ht="17.149999999999999" customHeight="1" thickBot="1" x14ac:dyDescent="0.4">
      <c r="B130" s="89" t="s">
        <v>264</v>
      </c>
      <c r="C130" s="5" t="s">
        <v>33</v>
      </c>
      <c r="D130" s="5" t="s">
        <v>247</v>
      </c>
      <c r="L130" s="82">
        <f>SUM(L126:L129)</f>
        <v>190919.65567331255</v>
      </c>
      <c r="M130" s="91">
        <f>SUM(M126:M129)</f>
        <v>1</v>
      </c>
    </row>
    <row r="131" spans="2:31" x14ac:dyDescent="0.35">
      <c r="B131" s="243" t="s">
        <v>265</v>
      </c>
      <c r="C131" s="48" t="s">
        <v>33</v>
      </c>
      <c r="D131" s="5" t="s">
        <v>153</v>
      </c>
    </row>
    <row r="132" spans="2:31" x14ac:dyDescent="0.35">
      <c r="B132" s="245"/>
      <c r="C132" s="8">
        <f>(C133/3600)*8</f>
        <v>49.834512937595122</v>
      </c>
      <c r="D132" s="5" t="s">
        <v>250</v>
      </c>
      <c r="I132" s="220" t="s">
        <v>266</v>
      </c>
      <c r="J132" s="220"/>
      <c r="K132" s="220"/>
      <c r="L132" s="220"/>
      <c r="M132" s="220"/>
      <c r="N132" s="220"/>
      <c r="Q132" s="247" t="s">
        <v>267</v>
      </c>
      <c r="R132" s="248"/>
      <c r="S132" s="249"/>
      <c r="U132" s="239" t="s">
        <v>268</v>
      </c>
      <c r="V132" s="239"/>
      <c r="W132" s="239"/>
      <c r="Z132" s="240" t="s">
        <v>269</v>
      </c>
      <c r="AA132" s="240"/>
      <c r="AB132" s="240" t="s">
        <v>270</v>
      </c>
      <c r="AC132" s="240"/>
      <c r="AD132" s="240" t="s">
        <v>271</v>
      </c>
      <c r="AE132" s="240"/>
    </row>
    <row r="133" spans="2:31" ht="16.5" customHeight="1" thickBot="1" x14ac:dyDescent="0.4">
      <c r="B133" s="246"/>
      <c r="C133" s="94">
        <f>K68</f>
        <v>22425.530821917804</v>
      </c>
      <c r="D133" s="95" t="s">
        <v>272</v>
      </c>
      <c r="I133" s="71" t="s">
        <v>189</v>
      </c>
      <c r="J133" s="71" t="s">
        <v>273</v>
      </c>
      <c r="K133" s="71" t="s">
        <v>274</v>
      </c>
      <c r="L133" s="71" t="s">
        <v>275</v>
      </c>
      <c r="M133" s="71" t="s">
        <v>222</v>
      </c>
      <c r="N133" s="71" t="s">
        <v>74</v>
      </c>
      <c r="Q133" s="96" t="s">
        <v>269</v>
      </c>
      <c r="R133" s="97">
        <f>M141</f>
        <v>76716.76714389323</v>
      </c>
      <c r="S133" s="98">
        <f>(R133/$R$136)</f>
        <v>0.14575767702470677</v>
      </c>
      <c r="U133" s="66" t="s">
        <v>276</v>
      </c>
      <c r="V133" s="72">
        <f>C176</f>
        <v>1647600.329553084</v>
      </c>
      <c r="W133" s="74">
        <f>V133/$V$135</f>
        <v>0.75788981662519361</v>
      </c>
      <c r="X133" s="14" t="s">
        <v>277</v>
      </c>
      <c r="Z133" s="4" t="s">
        <v>278</v>
      </c>
      <c r="AA133" s="99">
        <f>N134</f>
        <v>0.20215952232333523</v>
      </c>
      <c r="AB133" s="4" t="s">
        <v>279</v>
      </c>
      <c r="AC133" s="99">
        <f>N143+N144+N145+N146</f>
        <v>0.33350352216236229</v>
      </c>
      <c r="AD133" s="4" t="s">
        <v>271</v>
      </c>
      <c r="AE133" s="99">
        <f>N150</f>
        <v>0.24142570793445406</v>
      </c>
    </row>
    <row r="134" spans="2:31" ht="16.5" customHeight="1" x14ac:dyDescent="0.35">
      <c r="B134" s="100" t="s">
        <v>280</v>
      </c>
      <c r="C134" s="101">
        <f>AC83</f>
        <v>18.63490370957188</v>
      </c>
      <c r="D134" s="102" t="s">
        <v>153</v>
      </c>
      <c r="E134" s="14" t="s">
        <v>281</v>
      </c>
      <c r="I134" s="73">
        <v>1</v>
      </c>
      <c r="J134" s="73" t="s">
        <v>230</v>
      </c>
      <c r="K134" s="73">
        <f>I32*C152*G118</f>
        <v>51696.749999999985</v>
      </c>
      <c r="L134" s="73">
        <f>C112</f>
        <v>0.3</v>
      </c>
      <c r="M134" s="84">
        <f t="shared" ref="M134:M140" si="13">K134*L134</f>
        <v>15509.024999999994</v>
      </c>
      <c r="N134" s="74">
        <f t="shared" ref="N134:N140" si="14">(M134/$M$141)</f>
        <v>0.20215952232333523</v>
      </c>
      <c r="Q134" s="66" t="s">
        <v>270</v>
      </c>
      <c r="R134" s="72">
        <f>M148</f>
        <v>201090.46015020445</v>
      </c>
      <c r="S134" s="98">
        <f>(R134/$R$136)</f>
        <v>0.38206091620554328</v>
      </c>
      <c r="U134" s="66" t="s">
        <v>282</v>
      </c>
      <c r="V134" s="72">
        <f>C177</f>
        <v>526330.88499955507</v>
      </c>
      <c r="W134" s="74">
        <f>V134/$V$135</f>
        <v>0.24211018337480641</v>
      </c>
      <c r="X134" s="14" t="s">
        <v>283</v>
      </c>
      <c r="Z134" s="4" t="s">
        <v>284</v>
      </c>
      <c r="AA134" s="99">
        <f>N135</f>
        <v>5.2786097495537553E-2</v>
      </c>
      <c r="AB134" s="4" t="s">
        <v>285</v>
      </c>
      <c r="AC134" s="99">
        <f>N147</f>
        <v>0.66649647783763766</v>
      </c>
      <c r="AD134" s="4" t="s">
        <v>286</v>
      </c>
      <c r="AE134" s="99">
        <f t="shared" ref="AE134:AE141" si="15">N151</f>
        <v>4.828514158689081E-2</v>
      </c>
    </row>
    <row r="135" spans="2:31" ht="17.25" customHeight="1" x14ac:dyDescent="0.45">
      <c r="B135" s="229" t="s">
        <v>287</v>
      </c>
      <c r="C135" s="48">
        <f>AC93</f>
        <v>731.61070591494092</v>
      </c>
      <c r="D135" s="28" t="s">
        <v>6</v>
      </c>
      <c r="E135" s="14"/>
      <c r="I135" s="73">
        <v>2</v>
      </c>
      <c r="J135" s="73" t="s">
        <v>12</v>
      </c>
      <c r="K135" s="103">
        <f>(E28)*G118</f>
        <v>80991.574999999997</v>
      </c>
      <c r="L135" s="73">
        <f>C110</f>
        <v>0.05</v>
      </c>
      <c r="M135" s="84">
        <f t="shared" si="13"/>
        <v>4049.5787500000001</v>
      </c>
      <c r="N135" s="74">
        <f>(M135/$M$141)</f>
        <v>5.2786097495537553E-2</v>
      </c>
      <c r="Q135" s="66" t="s">
        <v>271</v>
      </c>
      <c r="R135" s="72">
        <f>M159</f>
        <v>248523.65770545744</v>
      </c>
      <c r="S135" s="98">
        <f>(R135/$R$136)</f>
        <v>0.47218140676975007</v>
      </c>
      <c r="U135" s="66" t="s">
        <v>15</v>
      </c>
      <c r="V135" s="241">
        <f>SUM(V133:V134)</f>
        <v>2173931.2145526391</v>
      </c>
      <c r="W135" s="241"/>
      <c r="Z135" s="104" t="s">
        <v>227</v>
      </c>
      <c r="AA135" s="99">
        <f>N136</f>
        <v>0.33693253720555882</v>
      </c>
      <c r="AD135" s="4" t="s">
        <v>288</v>
      </c>
      <c r="AE135" s="99">
        <f t="shared" si="15"/>
        <v>7.2427712380336212E-2</v>
      </c>
    </row>
    <row r="136" spans="2:31" ht="16.5" x14ac:dyDescent="0.45">
      <c r="B136" s="230"/>
      <c r="C136" s="48">
        <f>C135/24</f>
        <v>30.483779413122537</v>
      </c>
      <c r="D136" s="28" t="s">
        <v>197</v>
      </c>
      <c r="I136" s="73">
        <v>3</v>
      </c>
      <c r="J136" s="105" t="s">
        <v>227</v>
      </c>
      <c r="K136" s="73">
        <f>I32*C150*G118</f>
        <v>258483.74999999997</v>
      </c>
      <c r="L136" s="73">
        <f>C111</f>
        <v>0.1</v>
      </c>
      <c r="M136" s="84">
        <f t="shared" si="13"/>
        <v>25848.375</v>
      </c>
      <c r="N136" s="74">
        <f t="shared" si="14"/>
        <v>0.33693253720555882</v>
      </c>
      <c r="Q136" s="66" t="s">
        <v>15</v>
      </c>
      <c r="R136" s="241">
        <f>SUM(R133:R135)</f>
        <v>526330.88499955507</v>
      </c>
      <c r="S136" s="241"/>
      <c r="Z136" s="4" t="s">
        <v>289</v>
      </c>
      <c r="AA136" s="99">
        <f>N137</f>
        <v>0.36489793779362018</v>
      </c>
      <c r="AD136" s="4" t="s">
        <v>290</v>
      </c>
      <c r="AE136" s="99">
        <f t="shared" si="15"/>
        <v>6.3365795121776841E-2</v>
      </c>
    </row>
    <row r="137" spans="2:31" ht="17.25" customHeight="1" x14ac:dyDescent="0.35">
      <c r="B137" s="106" t="s">
        <v>291</v>
      </c>
      <c r="C137" s="48" t="str">
        <f>C131</f>
        <v>-</v>
      </c>
      <c r="D137" s="28" t="s">
        <v>153</v>
      </c>
      <c r="I137" s="73">
        <v>4</v>
      </c>
      <c r="J137" s="73" t="s">
        <v>234</v>
      </c>
      <c r="K137" s="103">
        <f>O66*G118</f>
        <v>2799.3790124999996</v>
      </c>
      <c r="L137" s="73">
        <f>C114</f>
        <v>10</v>
      </c>
      <c r="M137" s="84">
        <f t="shared" si="13"/>
        <v>27993.790124999996</v>
      </c>
      <c r="N137" s="74">
        <f t="shared" si="14"/>
        <v>0.36489793779362018</v>
      </c>
      <c r="Z137" s="4" t="s">
        <v>292</v>
      </c>
      <c r="AA137" s="99">
        <f>N139</f>
        <v>0.20270530612591264</v>
      </c>
      <c r="AD137" s="4" t="s">
        <v>293</v>
      </c>
      <c r="AE137" s="99">
        <f t="shared" si="15"/>
        <v>1.2347599878771392E-3</v>
      </c>
    </row>
    <row r="138" spans="2:31" ht="16.5" x14ac:dyDescent="0.35">
      <c r="B138" s="229" t="s">
        <v>294</v>
      </c>
      <c r="C138" s="48">
        <f>(C134*0.86)/(200-25)</f>
        <v>9.1577241087038949E-2</v>
      </c>
      <c r="D138" s="28" t="s">
        <v>193</v>
      </c>
      <c r="E138" s="14" t="s">
        <v>295</v>
      </c>
      <c r="I138" s="73">
        <v>5</v>
      </c>
      <c r="J138" s="73" t="s">
        <v>296</v>
      </c>
      <c r="K138" s="107">
        <v>0</v>
      </c>
      <c r="L138" s="73">
        <v>0</v>
      </c>
      <c r="M138" s="84">
        <f t="shared" si="13"/>
        <v>0</v>
      </c>
      <c r="N138" s="74">
        <f t="shared" si="14"/>
        <v>0</v>
      </c>
      <c r="Z138" s="4" t="s">
        <v>297</v>
      </c>
      <c r="AA138" s="99">
        <f>N140</f>
        <v>4.2678121379370784E-2</v>
      </c>
      <c r="AD138" s="4" t="s">
        <v>298</v>
      </c>
      <c r="AE138" s="99">
        <f t="shared" si="15"/>
        <v>0.19419215455371694</v>
      </c>
    </row>
    <row r="139" spans="2:31" ht="16.5" x14ac:dyDescent="0.35">
      <c r="B139" s="230"/>
      <c r="C139" s="8">
        <f>C138*F118</f>
        <v>2.1978537860889347</v>
      </c>
      <c r="D139" s="5" t="s">
        <v>86</v>
      </c>
      <c r="I139" s="108">
        <v>6</v>
      </c>
      <c r="J139" s="108" t="s">
        <v>168</v>
      </c>
      <c r="K139" s="103">
        <f>O69*G118</f>
        <v>31101.79153778647</v>
      </c>
      <c r="L139" s="108">
        <f>C116</f>
        <v>0.5</v>
      </c>
      <c r="M139" s="90">
        <f t="shared" si="13"/>
        <v>15550.895768893235</v>
      </c>
      <c r="N139" s="81">
        <f t="shared" si="14"/>
        <v>0.20270530612591264</v>
      </c>
      <c r="AD139" s="4" t="s">
        <v>299</v>
      </c>
      <c r="AE139" s="99">
        <f t="shared" si="15"/>
        <v>0.24831043938877595</v>
      </c>
    </row>
    <row r="140" spans="2:31" ht="15" thickBot="1" x14ac:dyDescent="0.4">
      <c r="B140" s="106" t="s">
        <v>300</v>
      </c>
      <c r="C140" s="8">
        <f>AC66</f>
        <v>48.171105245156987</v>
      </c>
      <c r="D140" s="28" t="s">
        <v>153</v>
      </c>
      <c r="E140" s="14" t="s">
        <v>301</v>
      </c>
      <c r="I140" s="73">
        <v>7</v>
      </c>
      <c r="J140" s="73" t="s">
        <v>14</v>
      </c>
      <c r="K140" s="103">
        <f>C154*G118</f>
        <v>5456.8791666666666</v>
      </c>
      <c r="L140" s="108">
        <f>C117</f>
        <v>0.6</v>
      </c>
      <c r="M140" s="90">
        <f t="shared" si="13"/>
        <v>3274.1275000000001</v>
      </c>
      <c r="N140" s="81">
        <f t="shared" si="14"/>
        <v>4.2678121379370784E-2</v>
      </c>
      <c r="AD140" s="4" t="s">
        <v>302</v>
      </c>
      <c r="AE140" s="99">
        <f t="shared" si="15"/>
        <v>5.5891505432321097E-2</v>
      </c>
    </row>
    <row r="141" spans="2:31" ht="15" thickBot="1" x14ac:dyDescent="0.4">
      <c r="B141" s="106" t="s">
        <v>303</v>
      </c>
      <c r="C141" s="8">
        <f>AC76</f>
        <v>1891.2089304228491</v>
      </c>
      <c r="D141" s="28" t="s">
        <v>6</v>
      </c>
      <c r="L141" s="109" t="s">
        <v>304</v>
      </c>
      <c r="M141" s="110">
        <f>SUM(M135:M140)</f>
        <v>76716.76714389323</v>
      </c>
      <c r="N141" s="91">
        <f>SUM(N135:N140)</f>
        <v>0.99999999999999989</v>
      </c>
      <c r="AD141" s="4" t="s">
        <v>305</v>
      </c>
      <c r="AE141" s="99">
        <f t="shared" si="15"/>
        <v>7.4866783613851004E-2</v>
      </c>
    </row>
    <row r="142" spans="2:31" ht="16.5" x14ac:dyDescent="0.35">
      <c r="B142" s="229" t="s">
        <v>296</v>
      </c>
      <c r="C142" s="28">
        <v>0.2</v>
      </c>
      <c r="D142" s="28" t="s">
        <v>252</v>
      </c>
      <c r="I142" s="71" t="s">
        <v>189</v>
      </c>
      <c r="J142" s="71" t="s">
        <v>270</v>
      </c>
      <c r="K142" s="71" t="s">
        <v>274</v>
      </c>
      <c r="L142" s="111" t="s">
        <v>275</v>
      </c>
      <c r="M142" s="111" t="s">
        <v>222</v>
      </c>
      <c r="N142" s="111" t="s">
        <v>74</v>
      </c>
      <c r="O142" s="112">
        <f>M143+M144+M145+M146</f>
        <v>67064.37673334335</v>
      </c>
    </row>
    <row r="143" spans="2:31" x14ac:dyDescent="0.35">
      <c r="B143" s="230"/>
      <c r="C143" s="48">
        <f>(I28+O28)*C142</f>
        <v>54.040965488584476</v>
      </c>
      <c r="D143" s="28" t="s">
        <v>250</v>
      </c>
      <c r="I143" s="73">
        <v>1</v>
      </c>
      <c r="J143" s="73" t="s">
        <v>306</v>
      </c>
      <c r="K143" s="103">
        <f>C129*G118</f>
        <v>229171.45330781784</v>
      </c>
      <c r="L143" s="73">
        <f>C113</f>
        <v>0.25</v>
      </c>
      <c r="M143" s="84">
        <f>K143*L143</f>
        <v>57292.863326954459</v>
      </c>
      <c r="N143" s="74">
        <f>(M143/M148)</f>
        <v>0.2849108967385105</v>
      </c>
      <c r="O143" s="112"/>
    </row>
    <row r="144" spans="2:31" x14ac:dyDescent="0.35">
      <c r="I144" s="73">
        <v>2</v>
      </c>
      <c r="J144" s="73" t="s">
        <v>307</v>
      </c>
      <c r="K144" s="103">
        <f>C132*G118</f>
        <v>18189.597222222219</v>
      </c>
      <c r="L144" s="73">
        <f>L143</f>
        <v>0.25</v>
      </c>
      <c r="M144" s="84">
        <f>K144*L144</f>
        <v>4547.3993055555547</v>
      </c>
      <c r="N144" s="74">
        <f>(M144/M148)</f>
        <v>2.2613699835183014E-2</v>
      </c>
    </row>
    <row r="145" spans="2:16" x14ac:dyDescent="0.35">
      <c r="B145" s="231" t="s">
        <v>308</v>
      </c>
      <c r="C145" s="232"/>
      <c r="D145" s="233"/>
      <c r="I145" s="73">
        <v>3</v>
      </c>
      <c r="J145" s="73" t="s">
        <v>309</v>
      </c>
      <c r="K145" s="103">
        <f>(C170)*G118</f>
        <v>1171.5039999999999</v>
      </c>
      <c r="L145" s="73">
        <f>L143</f>
        <v>0.25</v>
      </c>
      <c r="M145" s="84">
        <f>K145*L145</f>
        <v>292.87599999999998</v>
      </c>
      <c r="N145" s="74">
        <f>(M145/M148)</f>
        <v>1.4564390562398452E-3</v>
      </c>
      <c r="O145" s="113">
        <f>(C170)*G118*L145</f>
        <v>292.87599999999998</v>
      </c>
      <c r="P145" t="s">
        <v>20</v>
      </c>
    </row>
    <row r="146" spans="2:16" x14ac:dyDescent="0.35">
      <c r="B146" s="4" t="s">
        <v>310</v>
      </c>
      <c r="C146" s="5">
        <v>24</v>
      </c>
      <c r="D146" s="5" t="s">
        <v>149</v>
      </c>
      <c r="I146" s="73">
        <v>4</v>
      </c>
      <c r="J146" s="73" t="s">
        <v>311</v>
      </c>
      <c r="K146" s="103">
        <f>C143*G118</f>
        <v>19724.952403333333</v>
      </c>
      <c r="L146" s="73">
        <f>C113</f>
        <v>0.25</v>
      </c>
      <c r="M146" s="84">
        <f>K146*L146</f>
        <v>4931.2381008333332</v>
      </c>
      <c r="N146" s="74">
        <f>(M146/M148)</f>
        <v>2.4522486532428969E-2</v>
      </c>
      <c r="O146" s="113">
        <f>('[1]Escenario 1'!C119)*G118*L145</f>
        <v>4308.0624999999936</v>
      </c>
      <c r="P146" t="s">
        <v>312</v>
      </c>
    </row>
    <row r="147" spans="2:16" ht="15" thickBot="1" x14ac:dyDescent="0.4">
      <c r="B147" s="4" t="s">
        <v>313</v>
      </c>
      <c r="C147" s="8">
        <f>1/Y37</f>
        <v>0.33333333333333331</v>
      </c>
      <c r="D147" s="5" t="s">
        <v>314</v>
      </c>
      <c r="I147" s="73">
        <v>5</v>
      </c>
      <c r="J147" s="73" t="s">
        <v>315</v>
      </c>
      <c r="K147" s="103">
        <f>(C135+C141)*G118</f>
        <v>957329.16726329341</v>
      </c>
      <c r="L147" s="108">
        <f>C118</f>
        <v>0.14000000000000001</v>
      </c>
      <c r="M147" s="90">
        <f>K147*L147</f>
        <v>134026.0834168611</v>
      </c>
      <c r="N147" s="81">
        <f>(M147/M148)</f>
        <v>0.66649647783763766</v>
      </c>
    </row>
    <row r="148" spans="2:16" ht="17" thickBot="1" x14ac:dyDescent="0.4">
      <c r="B148" s="4" t="s">
        <v>95</v>
      </c>
      <c r="C148" s="8">
        <f>C66</f>
        <v>1133.0794520547945</v>
      </c>
      <c r="D148" s="5" t="s">
        <v>147</v>
      </c>
      <c r="L148" s="109" t="s">
        <v>304</v>
      </c>
      <c r="M148" s="110">
        <f>SUM(M143:M147)</f>
        <v>201090.46015020445</v>
      </c>
      <c r="N148" s="91">
        <f>SUM(N143:N147)</f>
        <v>1</v>
      </c>
    </row>
    <row r="149" spans="2:16" x14ac:dyDescent="0.35">
      <c r="B149" s="4" t="s">
        <v>316</v>
      </c>
      <c r="C149" s="5">
        <v>0.01</v>
      </c>
      <c r="D149" s="5" t="s">
        <v>317</v>
      </c>
      <c r="I149" s="71" t="s">
        <v>189</v>
      </c>
      <c r="J149" s="71" t="s">
        <v>318</v>
      </c>
      <c r="K149" s="71" t="s">
        <v>274</v>
      </c>
      <c r="L149" s="111" t="s">
        <v>275</v>
      </c>
      <c r="M149" s="111" t="s">
        <v>222</v>
      </c>
      <c r="N149" s="111" t="s">
        <v>74</v>
      </c>
    </row>
    <row r="150" spans="2:16" ht="16.5" x14ac:dyDescent="0.45">
      <c r="B150" s="104" t="s">
        <v>319</v>
      </c>
      <c r="C150" s="5">
        <v>1.5</v>
      </c>
      <c r="D150" s="5" t="s">
        <v>320</v>
      </c>
      <c r="I150" s="73">
        <v>1</v>
      </c>
      <c r="J150" s="73" t="s">
        <v>321</v>
      </c>
      <c r="K150" s="73">
        <v>2</v>
      </c>
      <c r="L150" s="84">
        <v>30000</v>
      </c>
      <c r="M150" s="72">
        <f t="shared" ref="M150:M158" si="16">K150*L150</f>
        <v>60000</v>
      </c>
      <c r="N150" s="74">
        <f>(M150/$M$159)</f>
        <v>0.24142570793445406</v>
      </c>
    </row>
    <row r="151" spans="2:16" x14ac:dyDescent="0.35">
      <c r="B151" s="4" t="s">
        <v>107</v>
      </c>
      <c r="C151" s="8">
        <f>I32/AC36</f>
        <v>0.41666666666666663</v>
      </c>
      <c r="D151" s="5" t="s">
        <v>322</v>
      </c>
      <c r="I151" s="73">
        <v>2</v>
      </c>
      <c r="J151" s="73" t="s">
        <v>323</v>
      </c>
      <c r="K151" s="73">
        <v>0.2</v>
      </c>
      <c r="L151" s="84">
        <f>M150</f>
        <v>60000</v>
      </c>
      <c r="M151" s="72">
        <f t="shared" si="16"/>
        <v>12000</v>
      </c>
      <c r="N151" s="74">
        <f t="shared" ref="N151:N158" si="17">(M151/$M$159)</f>
        <v>4.828514158689081E-2</v>
      </c>
    </row>
    <row r="152" spans="2:16" x14ac:dyDescent="0.35">
      <c r="B152" s="4" t="s">
        <v>230</v>
      </c>
      <c r="C152" s="5">
        <v>0.3</v>
      </c>
      <c r="D152" s="5" t="s">
        <v>320</v>
      </c>
      <c r="I152" s="73">
        <v>3</v>
      </c>
      <c r="J152" s="73" t="s">
        <v>324</v>
      </c>
      <c r="K152" s="73">
        <v>0.25</v>
      </c>
      <c r="L152" s="84">
        <f>M150+M151</f>
        <v>72000</v>
      </c>
      <c r="M152" s="72">
        <f t="shared" si="16"/>
        <v>18000</v>
      </c>
      <c r="N152" s="74">
        <f t="shared" si="17"/>
        <v>7.2427712380336212E-2</v>
      </c>
    </row>
    <row r="153" spans="2:16" x14ac:dyDescent="0.35">
      <c r="B153" s="4" t="s">
        <v>325</v>
      </c>
      <c r="C153" s="5">
        <v>2</v>
      </c>
      <c r="D153" s="5" t="s">
        <v>74</v>
      </c>
      <c r="I153" s="73">
        <v>4</v>
      </c>
      <c r="J153" s="73" t="s">
        <v>326</v>
      </c>
      <c r="K153" s="73">
        <v>0.04</v>
      </c>
      <c r="L153" s="84">
        <f>O104</f>
        <v>393697.47942696529</v>
      </c>
      <c r="M153" s="72">
        <f t="shared" si="16"/>
        <v>15747.899177078612</v>
      </c>
      <c r="N153" s="74">
        <f t="shared" si="17"/>
        <v>6.3365795121776841E-2</v>
      </c>
    </row>
    <row r="154" spans="2:16" ht="16.5" x14ac:dyDescent="0.35">
      <c r="B154" s="4" t="s">
        <v>327</v>
      </c>
      <c r="C154" s="8">
        <f>AC50</f>
        <v>14.950353881278538</v>
      </c>
      <c r="D154" s="5" t="s">
        <v>86</v>
      </c>
      <c r="I154" s="73">
        <v>5</v>
      </c>
      <c r="J154" s="73" t="s">
        <v>328</v>
      </c>
      <c r="K154" s="73">
        <v>4.0000000000000001E-3</v>
      </c>
      <c r="L154" s="84">
        <f>M141</f>
        <v>76716.76714389323</v>
      </c>
      <c r="M154" s="72">
        <f t="shared" si="16"/>
        <v>306.86706857557294</v>
      </c>
      <c r="N154" s="74">
        <f t="shared" si="17"/>
        <v>1.2347599878771392E-3</v>
      </c>
    </row>
    <row r="155" spans="2:16" x14ac:dyDescent="0.35">
      <c r="I155" s="73">
        <v>6</v>
      </c>
      <c r="J155" s="73" t="s">
        <v>329</v>
      </c>
      <c r="K155" s="73">
        <v>0.55000000000000004</v>
      </c>
      <c r="L155" s="84">
        <f>M150+M151+M153</f>
        <v>87747.899177078609</v>
      </c>
      <c r="M155" s="72">
        <f t="shared" si="16"/>
        <v>48261.344547393237</v>
      </c>
      <c r="N155" s="74">
        <f t="shared" si="17"/>
        <v>0.19419215455371694</v>
      </c>
    </row>
    <row r="156" spans="2:16" x14ac:dyDescent="0.35">
      <c r="B156" s="234" t="s">
        <v>330</v>
      </c>
      <c r="C156" s="235"/>
      <c r="D156" s="236"/>
      <c r="I156" s="73">
        <v>7</v>
      </c>
      <c r="J156" s="73" t="s">
        <v>331</v>
      </c>
      <c r="K156" s="73">
        <f>0.21</f>
        <v>0.21</v>
      </c>
      <c r="L156" s="84">
        <f>M141+M148+M153+M154</f>
        <v>293861.99353975186</v>
      </c>
      <c r="M156" s="72">
        <f t="shared" si="16"/>
        <v>61711.018643347888</v>
      </c>
      <c r="N156" s="74">
        <f t="shared" si="17"/>
        <v>0.24831043938877595</v>
      </c>
    </row>
    <row r="157" spans="2:16" x14ac:dyDescent="0.35">
      <c r="B157" s="4" t="s">
        <v>332</v>
      </c>
      <c r="C157" s="8">
        <f>K220</f>
        <v>36.5</v>
      </c>
      <c r="D157" s="5" t="s">
        <v>143</v>
      </c>
      <c r="E157" s="14"/>
      <c r="I157" s="73">
        <v>8</v>
      </c>
      <c r="J157" s="73" t="s">
        <v>333</v>
      </c>
      <c r="K157" s="73">
        <v>0.05</v>
      </c>
      <c r="L157" s="84">
        <f>M141+M148</f>
        <v>277807.22729409765</v>
      </c>
      <c r="M157" s="72">
        <f t="shared" si="16"/>
        <v>13890.361364704884</v>
      </c>
      <c r="N157" s="74">
        <f t="shared" si="17"/>
        <v>5.5891505432321097E-2</v>
      </c>
    </row>
    <row r="158" spans="2:16" ht="15" thickBot="1" x14ac:dyDescent="0.4">
      <c r="B158" s="4" t="s">
        <v>334</v>
      </c>
      <c r="C158" s="8">
        <f t="shared" ref="C158:C164" si="18">K221</f>
        <v>36.5</v>
      </c>
      <c r="D158" s="5" t="s">
        <v>143</v>
      </c>
      <c r="E158" s="14"/>
      <c r="I158" s="73">
        <v>9</v>
      </c>
      <c r="J158" s="73" t="s">
        <v>335</v>
      </c>
      <c r="K158" s="73">
        <v>0.05</v>
      </c>
      <c r="L158" s="90">
        <f>M141+M148+M151+M152+M153+M154+M155</f>
        <v>372123.33808714512</v>
      </c>
      <c r="M158" s="77">
        <f t="shared" si="16"/>
        <v>18606.166904357258</v>
      </c>
      <c r="N158" s="81">
        <f t="shared" si="17"/>
        <v>7.4866783613851004E-2</v>
      </c>
    </row>
    <row r="159" spans="2:16" ht="15" thickBot="1" x14ac:dyDescent="0.4">
      <c r="B159" s="104" t="s">
        <v>336</v>
      </c>
      <c r="C159" s="8">
        <f t="shared" si="18"/>
        <v>36.57</v>
      </c>
      <c r="D159" s="5" t="s">
        <v>143</v>
      </c>
      <c r="E159" s="14"/>
      <c r="L159" s="109" t="s">
        <v>304</v>
      </c>
      <c r="M159" s="114">
        <f>SUM(M150:M158)</f>
        <v>248523.65770545744</v>
      </c>
      <c r="N159" s="91">
        <f>SUM(N150:N158)</f>
        <v>1</v>
      </c>
    </row>
    <row r="160" spans="2:16" x14ac:dyDescent="0.35">
      <c r="B160" s="104" t="s">
        <v>337</v>
      </c>
      <c r="C160" s="8">
        <f t="shared" si="18"/>
        <v>36.57</v>
      </c>
      <c r="D160" s="5" t="s">
        <v>143</v>
      </c>
      <c r="E160" s="14"/>
    </row>
    <row r="161" spans="1:18" x14ac:dyDescent="0.35">
      <c r="B161" s="104" t="s">
        <v>338</v>
      </c>
      <c r="C161" s="8">
        <f t="shared" si="18"/>
        <v>36.51</v>
      </c>
      <c r="D161" s="5" t="s">
        <v>143</v>
      </c>
      <c r="E161" s="14"/>
      <c r="I161" s="220" t="s">
        <v>339</v>
      </c>
      <c r="J161" s="220"/>
      <c r="K161" s="220"/>
      <c r="L161" s="220"/>
    </row>
    <row r="162" spans="1:18" x14ac:dyDescent="0.35">
      <c r="B162" s="104" t="s">
        <v>340</v>
      </c>
      <c r="C162" s="8">
        <f t="shared" si="18"/>
        <v>36.51</v>
      </c>
      <c r="D162" s="5" t="s">
        <v>143</v>
      </c>
      <c r="E162" s="14"/>
      <c r="I162" s="71" t="s">
        <v>189</v>
      </c>
      <c r="J162" s="71" t="s">
        <v>190</v>
      </c>
      <c r="K162" s="71" t="s">
        <v>222</v>
      </c>
      <c r="L162" s="71" t="s">
        <v>74</v>
      </c>
    </row>
    <row r="163" spans="1:18" x14ac:dyDescent="0.35">
      <c r="B163" s="104" t="s">
        <v>341</v>
      </c>
      <c r="C163" s="8">
        <f t="shared" si="18"/>
        <v>36.51</v>
      </c>
      <c r="D163" s="5" t="s">
        <v>143</v>
      </c>
      <c r="E163" s="14"/>
      <c r="I163" s="73">
        <v>1</v>
      </c>
      <c r="J163" s="73" t="s">
        <v>342</v>
      </c>
      <c r="K163" s="84">
        <f>L130</f>
        <v>190919.65567331255</v>
      </c>
      <c r="L163" s="74">
        <f>(K163/$K$167)</f>
        <v>0.26618265842533467</v>
      </c>
    </row>
    <row r="164" spans="1:18" x14ac:dyDescent="0.35">
      <c r="B164" s="104" t="s">
        <v>343</v>
      </c>
      <c r="C164" s="8">
        <f t="shared" si="18"/>
        <v>36</v>
      </c>
      <c r="D164" s="88" t="s">
        <v>143</v>
      </c>
      <c r="E164" s="14"/>
      <c r="I164" s="73">
        <v>2</v>
      </c>
      <c r="J164" s="73" t="s">
        <v>273</v>
      </c>
      <c r="K164" s="84">
        <f>M141</f>
        <v>76716.76714389323</v>
      </c>
      <c r="L164" s="74">
        <f>(K164/$K$167)</f>
        <v>0.10695951106836898</v>
      </c>
    </row>
    <row r="165" spans="1:18" x14ac:dyDescent="0.35">
      <c r="B165" s="104" t="s">
        <v>344</v>
      </c>
      <c r="C165" s="8">
        <f>K229</f>
        <v>36.51</v>
      </c>
      <c r="D165" s="5" t="s">
        <v>143</v>
      </c>
      <c r="E165" s="14"/>
      <c r="I165" s="73">
        <v>3</v>
      </c>
      <c r="J165" s="73" t="s">
        <v>270</v>
      </c>
      <c r="K165" s="84">
        <f>M148</f>
        <v>201090.46015020445</v>
      </c>
      <c r="L165" s="74">
        <f>(K165/$K$167)</f>
        <v>0.28036292584953271</v>
      </c>
    </row>
    <row r="166" spans="1:18" ht="15" thickBot="1" x14ac:dyDescent="0.4">
      <c r="B166" s="104" t="s">
        <v>605</v>
      </c>
      <c r="C166" s="8">
        <f t="shared" ref="C166:C167" si="19">K230</f>
        <v>36.51</v>
      </c>
      <c r="D166" s="5" t="s">
        <v>143</v>
      </c>
      <c r="I166" s="73">
        <v>4</v>
      </c>
      <c r="J166" s="73" t="s">
        <v>318</v>
      </c>
      <c r="K166" s="90">
        <f>M159</f>
        <v>248523.65770545744</v>
      </c>
      <c r="L166" s="81">
        <f>(K166/$K$167)</f>
        <v>0.34649490465676364</v>
      </c>
    </row>
    <row r="167" spans="1:18" ht="15" thickBot="1" x14ac:dyDescent="0.4">
      <c r="B167" s="104" t="s">
        <v>345</v>
      </c>
      <c r="C167" s="8">
        <f t="shared" si="19"/>
        <v>36.51</v>
      </c>
      <c r="D167" s="5" t="s">
        <v>143</v>
      </c>
      <c r="K167" s="115">
        <f>SUM(K163:K166)</f>
        <v>717250.54067286768</v>
      </c>
      <c r="L167" s="91">
        <f>SUM(L163:L166)</f>
        <v>1</v>
      </c>
    </row>
    <row r="168" spans="1:18" ht="15" thickBot="1" x14ac:dyDescent="0.4"/>
    <row r="169" spans="1:18" x14ac:dyDescent="0.35">
      <c r="B169" s="237" t="s">
        <v>15</v>
      </c>
      <c r="C169" s="48">
        <f>SUM(C157:C167)</f>
        <v>401.19999999999993</v>
      </c>
      <c r="D169" s="5" t="s">
        <v>143</v>
      </c>
      <c r="J169" s="116" t="s">
        <v>346</v>
      </c>
      <c r="K169" s="117">
        <f>K167</f>
        <v>717250.54067286768</v>
      </c>
    </row>
    <row r="170" spans="1:18" ht="16.5" x14ac:dyDescent="0.35">
      <c r="B170" s="238"/>
      <c r="C170" s="48">
        <f>(C169/1000)*8</f>
        <v>3.2095999999999996</v>
      </c>
      <c r="D170" s="28" t="s">
        <v>250</v>
      </c>
      <c r="J170" s="118" t="s">
        <v>347</v>
      </c>
      <c r="K170" s="119">
        <f>K169/(R28*G118)</f>
        <v>102.03364507988397</v>
      </c>
    </row>
    <row r="171" spans="1:18" ht="16.5" x14ac:dyDescent="0.35">
      <c r="B171" s="3" t="s">
        <v>348</v>
      </c>
      <c r="J171" s="118" t="s">
        <v>349</v>
      </c>
      <c r="K171" s="119">
        <f>K169/(T28*G118)</f>
        <v>908.1071121099036</v>
      </c>
    </row>
    <row r="172" spans="1:18" ht="17" thickBot="1" x14ac:dyDescent="0.4">
      <c r="J172" s="120" t="s">
        <v>350</v>
      </c>
      <c r="K172" s="121">
        <f>(C176+C177)/(D28*G118)</f>
        <v>157.69351176954831</v>
      </c>
    </row>
    <row r="174" spans="1:18" ht="20" thickBot="1" x14ac:dyDescent="0.5">
      <c r="B174" s="225" t="s">
        <v>351</v>
      </c>
      <c r="C174" s="225"/>
      <c r="D174" s="225"/>
      <c r="E174" s="225"/>
      <c r="F174" s="225"/>
      <c r="G174" s="225"/>
      <c r="H174" s="225"/>
      <c r="I174" s="225"/>
      <c r="J174" s="122"/>
      <c r="K174" s="225" t="s">
        <v>352</v>
      </c>
      <c r="L174" s="225"/>
      <c r="M174" s="225"/>
      <c r="N174" s="225"/>
      <c r="O174" s="225"/>
      <c r="P174" s="225"/>
      <c r="Q174" s="225"/>
      <c r="R174" s="225"/>
    </row>
    <row r="175" spans="1:18" ht="15.5" thickTop="1" thickBot="1" x14ac:dyDescent="0.4"/>
    <row r="176" spans="1:18" ht="15" thickBot="1" x14ac:dyDescent="0.4">
      <c r="A176" s="123" t="s">
        <v>353</v>
      </c>
      <c r="B176" s="69" t="s">
        <v>31</v>
      </c>
      <c r="C176" s="84">
        <f>L121+L127+L128+L129</f>
        <v>1647600.329553084</v>
      </c>
      <c r="H176" s="69" t="s">
        <v>354</v>
      </c>
      <c r="I176" s="72">
        <f>C183*C192</f>
        <v>460357.89904139488</v>
      </c>
      <c r="K176" s="124"/>
      <c r="L176" s="125" t="s">
        <v>69</v>
      </c>
      <c r="M176" s="126" t="s">
        <v>355</v>
      </c>
      <c r="N176" s="125" t="s">
        <v>69</v>
      </c>
      <c r="O176" s="126" t="s">
        <v>356</v>
      </c>
      <c r="P176" s="125" t="s">
        <v>69</v>
      </c>
      <c r="Q176" s="126" t="s">
        <v>357</v>
      </c>
      <c r="R176" s="20" t="s">
        <v>358</v>
      </c>
    </row>
    <row r="177" spans="1:17" x14ac:dyDescent="0.35">
      <c r="A177" s="123" t="s">
        <v>359</v>
      </c>
      <c r="B177" s="69" t="s">
        <v>360</v>
      </c>
      <c r="C177" s="84">
        <f>M141+M148+M159</f>
        <v>526330.88499955507</v>
      </c>
      <c r="H177" s="69" t="s">
        <v>361</v>
      </c>
      <c r="I177" s="72">
        <f>C181-I176</f>
        <v>279344.76634987869</v>
      </c>
      <c r="K177" s="127" t="s">
        <v>362</v>
      </c>
      <c r="L177" s="128">
        <f>(R36/R29)*100</f>
        <v>22.251130183996136</v>
      </c>
      <c r="M177" s="129">
        <v>30.8</v>
      </c>
      <c r="N177" s="130">
        <f>L177</f>
        <v>22.251130183996136</v>
      </c>
      <c r="O177" s="129" t="s">
        <v>33</v>
      </c>
      <c r="P177" s="130">
        <f>N177</f>
        <v>22.251130183996136</v>
      </c>
      <c r="Q177" s="129">
        <v>4</v>
      </c>
    </row>
    <row r="178" spans="1:17" x14ac:dyDescent="0.35">
      <c r="B178" s="69" t="s">
        <v>363</v>
      </c>
      <c r="C178" s="5">
        <v>0.05</v>
      </c>
      <c r="H178" s="20" t="s">
        <v>364</v>
      </c>
      <c r="K178" s="131" t="s">
        <v>365</v>
      </c>
      <c r="L178" s="128">
        <f>(R38/R29)*100</f>
        <v>0.22417652383889158</v>
      </c>
      <c r="M178" s="129">
        <v>3.5</v>
      </c>
      <c r="N178" s="130">
        <f>L178</f>
        <v>0.22417652383889158</v>
      </c>
      <c r="O178" s="129">
        <v>12</v>
      </c>
      <c r="P178" s="130">
        <f>N178</f>
        <v>0.22417652383889158</v>
      </c>
      <c r="Q178" s="129">
        <v>12</v>
      </c>
    </row>
    <row r="179" spans="1:17" x14ac:dyDescent="0.35">
      <c r="B179" s="69" t="s">
        <v>366</v>
      </c>
      <c r="C179" s="5">
        <f>K125</f>
        <v>10</v>
      </c>
      <c r="H179" t="s">
        <v>367</v>
      </c>
      <c r="K179" s="131" t="s">
        <v>368</v>
      </c>
      <c r="L179" s="128">
        <f>(R42/R29)*100</f>
        <v>0.44873145207233284</v>
      </c>
      <c r="M179" s="129" t="s">
        <v>33</v>
      </c>
      <c r="N179" s="130">
        <f>L179</f>
        <v>0.44873145207233284</v>
      </c>
      <c r="O179" s="129">
        <v>24</v>
      </c>
      <c r="P179" s="130">
        <f>N179</f>
        <v>0.44873145207233284</v>
      </c>
      <c r="Q179" s="129">
        <v>4</v>
      </c>
    </row>
    <row r="180" spans="1:17" ht="15" thickBot="1" x14ac:dyDescent="0.4">
      <c r="K180" s="131" t="s">
        <v>369</v>
      </c>
      <c r="L180" s="132">
        <v>3124.9385726859573</v>
      </c>
      <c r="M180" s="133">
        <v>120</v>
      </c>
      <c r="N180" s="132">
        <v>3209.0463809243124</v>
      </c>
      <c r="O180" s="133">
        <f>5*12</f>
        <v>60</v>
      </c>
      <c r="P180" s="132">
        <v>2935.4959705136998</v>
      </c>
      <c r="Q180" s="133">
        <f>5*12</f>
        <v>60</v>
      </c>
    </row>
    <row r="181" spans="1:17" x14ac:dyDescent="0.35">
      <c r="B181" s="134" t="s">
        <v>370</v>
      </c>
      <c r="C181" s="135">
        <f>((C178*(1+C178)^C179)/((1+C178)^C179-1))*C176+C177</f>
        <v>739702.66539127356</v>
      </c>
      <c r="D181" s="136" t="s">
        <v>371</v>
      </c>
      <c r="K181" s="131" t="s">
        <v>372</v>
      </c>
      <c r="L181" s="128">
        <f>C183/1000</f>
        <v>6.5488963502830316E-2</v>
      </c>
      <c r="M181" s="137">
        <f>'[1]Escenario 1'!M160</f>
        <v>1.028125</v>
      </c>
      <c r="N181" s="130">
        <f>L181</f>
        <v>6.5488963502830316E-2</v>
      </c>
      <c r="O181" s="138">
        <f>'[1]Escenario 1'!O160</f>
        <v>6.3849999999999998</v>
      </c>
      <c r="P181" s="130">
        <f>N181</f>
        <v>6.5488963502830316E-2</v>
      </c>
      <c r="Q181" s="139">
        <f>'[1]Escenario 1'!Q160</f>
        <v>6.3849999999999998</v>
      </c>
    </row>
    <row r="182" spans="1:17" ht="16.5" x14ac:dyDescent="0.35">
      <c r="B182" s="140" t="s">
        <v>373</v>
      </c>
      <c r="C182" s="141">
        <f>(C181-(C183*C192))/C191</f>
        <v>353.6769297030105</v>
      </c>
      <c r="D182" s="142" t="s">
        <v>374</v>
      </c>
      <c r="I182" s="112"/>
      <c r="K182" s="131" t="s">
        <v>375</v>
      </c>
      <c r="L182" s="143">
        <f>L$180*1*(L177/100)</f>
        <v>695.33414997826299</v>
      </c>
      <c r="M182" s="144">
        <f>M$180*1*(M177/100)</f>
        <v>36.96</v>
      </c>
      <c r="N182" s="143">
        <f>N$180*1*(N177/100)</f>
        <v>714.0490878842852</v>
      </c>
      <c r="O182" s="144" t="s">
        <v>33</v>
      </c>
      <c r="P182" s="143">
        <f t="shared" ref="P182:Q184" si="20">P$180*1*(P177/100)</f>
        <v>653.18102994496417</v>
      </c>
      <c r="Q182" s="144">
        <f t="shared" si="20"/>
        <v>2.4</v>
      </c>
    </row>
    <row r="183" spans="1:17" ht="17" thickBot="1" x14ac:dyDescent="0.4">
      <c r="B183" s="145" t="s">
        <v>376</v>
      </c>
      <c r="C183" s="146">
        <f>'[1]Escenario 1'!C161</f>
        <v>65.488963502830316</v>
      </c>
      <c r="D183" s="147" t="s">
        <v>374</v>
      </c>
      <c r="E183" s="14" t="s">
        <v>377</v>
      </c>
      <c r="I183" s="2"/>
      <c r="K183" s="131" t="s">
        <v>378</v>
      </c>
      <c r="L183" s="143">
        <f t="shared" ref="L183:M184" si="21">L$180*1*(L178/100)</f>
        <v>7.0053786643480542</v>
      </c>
      <c r="M183" s="144">
        <f t="shared" si="21"/>
        <v>4.2</v>
      </c>
      <c r="N183" s="143">
        <f>N$180*1*(N178/100)</f>
        <v>7.1939286251338794</v>
      </c>
      <c r="O183" s="144">
        <f>O$180*1*(O178/100)</f>
        <v>7.1999999999999993</v>
      </c>
      <c r="P183" s="143">
        <f t="shared" si="20"/>
        <v>6.5806928241283469</v>
      </c>
      <c r="Q183" s="144">
        <f t="shared" si="20"/>
        <v>7.1999999999999993</v>
      </c>
    </row>
    <row r="184" spans="1:17" x14ac:dyDescent="0.35">
      <c r="I184" s="17" t="s">
        <v>606</v>
      </c>
      <c r="K184" s="131" t="s">
        <v>379</v>
      </c>
      <c r="L184" s="143">
        <f t="shared" si="21"/>
        <v>14.022582233582128</v>
      </c>
      <c r="M184" s="144" t="s">
        <v>33</v>
      </c>
      <c r="N184" s="143">
        <f>N$180*1*(N179/100)</f>
        <v>14.400000422796312</v>
      </c>
      <c r="O184" s="144">
        <f>O$180*1*(O179/100)</f>
        <v>14.399999999999999</v>
      </c>
      <c r="P184" s="143">
        <f t="shared" si="20"/>
        <v>13.172493694010944</v>
      </c>
      <c r="Q184" s="144">
        <f t="shared" si="20"/>
        <v>2.4</v>
      </c>
    </row>
    <row r="185" spans="1:17" ht="15" thickBot="1" x14ac:dyDescent="0.4">
      <c r="B185" s="148" t="s">
        <v>380</v>
      </c>
      <c r="C185" s="228" t="s">
        <v>381</v>
      </c>
      <c r="D185" s="228"/>
      <c r="E185" s="228"/>
      <c r="F185" s="228"/>
      <c r="I185" s="72">
        <f>C182*C191</f>
        <v>279344.76634987869</v>
      </c>
      <c r="K185" s="149" t="s">
        <v>382</v>
      </c>
      <c r="L185" s="150">
        <f t="shared" ref="L185:Q185" si="22">L180*L181</f>
        <v>204.64898813521731</v>
      </c>
      <c r="M185" s="151">
        <f t="shared" si="22"/>
        <v>123.375</v>
      </c>
      <c r="N185" s="150">
        <f t="shared" si="22"/>
        <v>210.15712131924201</v>
      </c>
      <c r="O185" s="151">
        <f t="shared" si="22"/>
        <v>383.09999999999997</v>
      </c>
      <c r="P185" s="150">
        <f t="shared" si="22"/>
        <v>192.24258847567714</v>
      </c>
      <c r="Q185" s="151">
        <f t="shared" si="22"/>
        <v>383.09999999999997</v>
      </c>
    </row>
    <row r="186" spans="1:17" ht="15" thickBot="1" x14ac:dyDescent="0.4">
      <c r="B186" s="148" t="s">
        <v>383</v>
      </c>
      <c r="C186" s="222" t="s">
        <v>384</v>
      </c>
      <c r="D186" s="223"/>
      <c r="E186" s="223"/>
      <c r="F186" s="224"/>
      <c r="I186" s="72">
        <f>C183*C192</f>
        <v>460357.89904139488</v>
      </c>
    </row>
    <row r="187" spans="1:17" ht="15" thickBot="1" x14ac:dyDescent="0.4">
      <c r="B187" s="148" t="s">
        <v>385</v>
      </c>
      <c r="C187" s="222" t="s">
        <v>386</v>
      </c>
      <c r="D187" s="223"/>
      <c r="E187" s="223"/>
      <c r="F187" s="224"/>
      <c r="I187" s="72">
        <f>I185+I186</f>
        <v>739702.66539127356</v>
      </c>
      <c r="K187" s="124"/>
      <c r="L187" s="152" t="s">
        <v>67</v>
      </c>
    </row>
    <row r="188" spans="1:17" x14ac:dyDescent="0.35">
      <c r="B188" s="148" t="s">
        <v>387</v>
      </c>
      <c r="C188" s="222" t="s">
        <v>388</v>
      </c>
      <c r="D188" s="223"/>
      <c r="E188" s="223"/>
      <c r="F188" s="224"/>
      <c r="H188" s="112"/>
      <c r="I188" s="5"/>
      <c r="K188" s="127" t="s">
        <v>362</v>
      </c>
      <c r="L188" s="153">
        <f>(T36/T29)*100</f>
        <v>10.243433310109529</v>
      </c>
    </row>
    <row r="189" spans="1:17" x14ac:dyDescent="0.35">
      <c r="B189" s="148" t="s">
        <v>370</v>
      </c>
      <c r="C189" s="222" t="s">
        <v>389</v>
      </c>
      <c r="D189" s="223"/>
      <c r="E189" s="223"/>
      <c r="F189" s="224"/>
      <c r="I189" s="74">
        <f>I185/I187</f>
        <v>0.37764466645813194</v>
      </c>
      <c r="K189" s="131" t="s">
        <v>365</v>
      </c>
      <c r="L189" s="154">
        <f>(T38/T29)*100</f>
        <v>0.47390789268818556</v>
      </c>
    </row>
    <row r="190" spans="1:17" ht="15" thickBot="1" x14ac:dyDescent="0.4">
      <c r="I190" s="74">
        <f>I186/I187</f>
        <v>0.62235533354186801</v>
      </c>
      <c r="K190" s="149" t="s">
        <v>368</v>
      </c>
      <c r="L190" s="155">
        <f>(T42/T29)*100</f>
        <v>1.6135594440232975E-2</v>
      </c>
    </row>
    <row r="191" spans="1:17" ht="16.5" x14ac:dyDescent="0.35">
      <c r="B191" s="148" t="s">
        <v>390</v>
      </c>
      <c r="C191" s="8">
        <f>T28*G118</f>
        <v>789.83033070449346</v>
      </c>
      <c r="D191" s="5" t="s">
        <v>391</v>
      </c>
    </row>
    <row r="192" spans="1:17" ht="16.5" x14ac:dyDescent="0.35">
      <c r="B192" s="148" t="s">
        <v>392</v>
      </c>
      <c r="C192" s="8">
        <f>R28*G118</f>
        <v>7029.549322787786</v>
      </c>
      <c r="D192" s="5" t="s">
        <v>391</v>
      </c>
      <c r="H192" s="3"/>
    </row>
    <row r="194" spans="2:16" ht="20" thickBot="1" x14ac:dyDescent="0.5">
      <c r="B194" s="225" t="s">
        <v>393</v>
      </c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</row>
    <row r="195" spans="2:16" ht="15" thickTop="1" x14ac:dyDescent="0.35"/>
    <row r="196" spans="2:16" x14ac:dyDescent="0.35">
      <c r="B196" s="69" t="s">
        <v>394</v>
      </c>
      <c r="C196" s="66">
        <v>0</v>
      </c>
      <c r="D196" s="66">
        <v>1</v>
      </c>
      <c r="E196" s="66">
        <v>2</v>
      </c>
      <c r="F196" s="66">
        <v>3</v>
      </c>
      <c r="G196" s="66">
        <v>4</v>
      </c>
      <c r="H196" s="66">
        <v>5</v>
      </c>
      <c r="I196" s="66">
        <v>6</v>
      </c>
      <c r="J196" s="66">
        <v>7</v>
      </c>
      <c r="K196" s="66">
        <v>8</v>
      </c>
      <c r="L196" s="66">
        <v>9</v>
      </c>
      <c r="M196" s="66">
        <v>10</v>
      </c>
    </row>
    <row r="197" spans="2:16" x14ac:dyDescent="0.35">
      <c r="B197" s="69" t="s">
        <v>395</v>
      </c>
      <c r="C197" s="84">
        <f>C176</f>
        <v>1647600.329553084</v>
      </c>
      <c r="D197" s="73"/>
      <c r="E197" s="73"/>
      <c r="F197" s="73"/>
      <c r="G197" s="73"/>
      <c r="H197" s="73"/>
      <c r="I197" s="73"/>
      <c r="J197" s="73"/>
      <c r="K197" s="73"/>
      <c r="L197" s="73"/>
      <c r="M197" s="73"/>
    </row>
    <row r="198" spans="2:16" x14ac:dyDescent="0.35">
      <c r="B198" s="69" t="s">
        <v>396</v>
      </c>
      <c r="C198" s="73"/>
      <c r="D198" s="84">
        <f>(C210*C207)+(D207*C212)</f>
        <v>896019.25947574037</v>
      </c>
      <c r="E198" s="84">
        <f>$D$198</f>
        <v>896019.25947574037</v>
      </c>
      <c r="F198" s="84">
        <f t="shared" ref="F198:M198" si="23">$D$198</f>
        <v>896019.25947574037</v>
      </c>
      <c r="G198" s="84">
        <f t="shared" si="23"/>
        <v>896019.25947574037</v>
      </c>
      <c r="H198" s="84">
        <f t="shared" si="23"/>
        <v>896019.25947574037</v>
      </c>
      <c r="I198" s="84">
        <f t="shared" si="23"/>
        <v>896019.25947574037</v>
      </c>
      <c r="J198" s="84">
        <f t="shared" si="23"/>
        <v>896019.25947574037</v>
      </c>
      <c r="K198" s="84">
        <f t="shared" si="23"/>
        <v>896019.25947574037</v>
      </c>
      <c r="L198" s="84">
        <f t="shared" si="23"/>
        <v>896019.25947574037</v>
      </c>
      <c r="M198" s="84">
        <f t="shared" si="23"/>
        <v>896019.25947574037</v>
      </c>
    </row>
    <row r="199" spans="2:16" x14ac:dyDescent="0.35">
      <c r="B199" s="69" t="s">
        <v>397</v>
      </c>
      <c r="C199" s="73"/>
      <c r="D199" s="84">
        <f>C177</f>
        <v>526330.88499955507</v>
      </c>
      <c r="E199" s="84">
        <f>$D$199</f>
        <v>526330.88499955507</v>
      </c>
      <c r="F199" s="84">
        <f t="shared" ref="F199:M199" si="24">$D$199</f>
        <v>526330.88499955507</v>
      </c>
      <c r="G199" s="84">
        <f t="shared" si="24"/>
        <v>526330.88499955507</v>
      </c>
      <c r="H199" s="84">
        <f t="shared" si="24"/>
        <v>526330.88499955507</v>
      </c>
      <c r="I199" s="84">
        <f t="shared" si="24"/>
        <v>526330.88499955507</v>
      </c>
      <c r="J199" s="84">
        <f t="shared" si="24"/>
        <v>526330.88499955507</v>
      </c>
      <c r="K199" s="84">
        <f t="shared" si="24"/>
        <v>526330.88499955507</v>
      </c>
      <c r="L199" s="84">
        <f t="shared" si="24"/>
        <v>526330.88499955507</v>
      </c>
      <c r="M199" s="84">
        <f t="shared" si="24"/>
        <v>526330.88499955507</v>
      </c>
    </row>
    <row r="200" spans="2:16" x14ac:dyDescent="0.35">
      <c r="B200" s="69" t="s">
        <v>398</v>
      </c>
      <c r="C200" s="73"/>
      <c r="D200" s="84">
        <f>D198-D199</f>
        <v>369688.3744761853</v>
      </c>
      <c r="E200" s="84">
        <f t="shared" ref="E200:M200" si="25">E198-E199</f>
        <v>369688.3744761853</v>
      </c>
      <c r="F200" s="84">
        <f t="shared" si="25"/>
        <v>369688.3744761853</v>
      </c>
      <c r="G200" s="84">
        <f t="shared" si="25"/>
        <v>369688.3744761853</v>
      </c>
      <c r="H200" s="84">
        <f t="shared" si="25"/>
        <v>369688.3744761853</v>
      </c>
      <c r="I200" s="84">
        <f t="shared" si="25"/>
        <v>369688.3744761853</v>
      </c>
      <c r="J200" s="84">
        <f t="shared" si="25"/>
        <v>369688.3744761853</v>
      </c>
      <c r="K200" s="84">
        <f t="shared" si="25"/>
        <v>369688.3744761853</v>
      </c>
      <c r="L200" s="84">
        <f t="shared" si="25"/>
        <v>369688.3744761853</v>
      </c>
      <c r="M200" s="84">
        <f t="shared" si="25"/>
        <v>369688.3744761853</v>
      </c>
    </row>
    <row r="201" spans="2:16" x14ac:dyDescent="0.35">
      <c r="B201" s="69" t="s">
        <v>399</v>
      </c>
      <c r="C201" s="73"/>
      <c r="D201" s="84">
        <f>D200/((1+$C$178)^$C$179)</f>
        <v>226956.59277086952</v>
      </c>
      <c r="E201" s="84">
        <f t="shared" ref="E201:M201" si="26">E200/((1+$C$178)^$C$179)</f>
        <v>226956.59277086952</v>
      </c>
      <c r="F201" s="84">
        <f t="shared" si="26"/>
        <v>226956.59277086952</v>
      </c>
      <c r="G201" s="84">
        <f t="shared" si="26"/>
        <v>226956.59277086952</v>
      </c>
      <c r="H201" s="84">
        <f t="shared" si="26"/>
        <v>226956.59277086952</v>
      </c>
      <c r="I201" s="84">
        <f t="shared" si="26"/>
        <v>226956.59277086952</v>
      </c>
      <c r="J201" s="84">
        <f t="shared" si="26"/>
        <v>226956.59277086952</v>
      </c>
      <c r="K201" s="84">
        <f t="shared" si="26"/>
        <v>226956.59277086952</v>
      </c>
      <c r="L201" s="84">
        <f t="shared" si="26"/>
        <v>226956.59277086952</v>
      </c>
      <c r="M201" s="84">
        <f t="shared" si="26"/>
        <v>226956.59277086952</v>
      </c>
    </row>
    <row r="202" spans="2:16" ht="15" thickBot="1" x14ac:dyDescent="0.4"/>
    <row r="203" spans="2:16" ht="15" thickBot="1" x14ac:dyDescent="0.4">
      <c r="B203" s="156" t="s">
        <v>400</v>
      </c>
      <c r="C203" s="157">
        <f>SUM(D201:M201)-C197</f>
        <v>621965.59815561166</v>
      </c>
    </row>
    <row r="204" spans="2:16" ht="15" thickBot="1" x14ac:dyDescent="0.4">
      <c r="C204" s="158"/>
    </row>
    <row r="205" spans="2:16" ht="15" thickBot="1" x14ac:dyDescent="0.4">
      <c r="C205" s="156" t="s">
        <v>35</v>
      </c>
      <c r="D205" s="159" t="s">
        <v>401</v>
      </c>
    </row>
    <row r="206" spans="2:16" x14ac:dyDescent="0.35">
      <c r="B206" s="69" t="s">
        <v>402</v>
      </c>
      <c r="C206" s="97">
        <f>C182</f>
        <v>353.6769297030105</v>
      </c>
      <c r="D206" s="160">
        <f>C183</f>
        <v>65.488963502830316</v>
      </c>
    </row>
    <row r="207" spans="2:16" x14ac:dyDescent="0.35">
      <c r="B207" s="69" t="s">
        <v>403</v>
      </c>
      <c r="C207" s="72">
        <v>416.54474598466453</v>
      </c>
      <c r="D207" s="84">
        <f>'[1]Escenario 1'!C183</f>
        <v>80.662295541954379</v>
      </c>
    </row>
    <row r="209" spans="2:16" x14ac:dyDescent="0.35">
      <c r="B209" s="226" t="s">
        <v>390</v>
      </c>
      <c r="C209" s="8">
        <f>C210*1000</f>
        <v>789830.33070449345</v>
      </c>
      <c r="D209" s="28" t="s">
        <v>404</v>
      </c>
    </row>
    <row r="210" spans="2:16" ht="16.5" x14ac:dyDescent="0.35">
      <c r="B210" s="227"/>
      <c r="C210" s="8">
        <f>C191</f>
        <v>789.83033070449346</v>
      </c>
      <c r="D210" s="5" t="s">
        <v>391</v>
      </c>
    </row>
    <row r="211" spans="2:16" x14ac:dyDescent="0.35">
      <c r="B211" s="226" t="s">
        <v>392</v>
      </c>
      <c r="C211" s="5">
        <f>C212*1000</f>
        <v>7029549.3227877859</v>
      </c>
      <c r="D211" s="28" t="s">
        <v>404</v>
      </c>
    </row>
    <row r="212" spans="2:16" ht="16.5" x14ac:dyDescent="0.35">
      <c r="B212" s="227"/>
      <c r="C212" s="8">
        <f>C192</f>
        <v>7029.549322787786</v>
      </c>
      <c r="D212" s="5" t="s">
        <v>391</v>
      </c>
    </row>
    <row r="214" spans="2:16" x14ac:dyDescent="0.35">
      <c r="B214" s="3" t="s">
        <v>405</v>
      </c>
    </row>
    <row r="216" spans="2:16" ht="20" thickBot="1" x14ac:dyDescent="0.5">
      <c r="B216" s="225" t="s">
        <v>406</v>
      </c>
      <c r="C216" s="225"/>
      <c r="D216" s="225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</row>
    <row r="217" spans="2:16" ht="15" thickTop="1" x14ac:dyDescent="0.35"/>
    <row r="218" spans="2:16" x14ac:dyDescent="0.35">
      <c r="B218" s="220" t="s">
        <v>407</v>
      </c>
      <c r="C218" s="220"/>
      <c r="D218" s="220"/>
      <c r="E218" s="220"/>
      <c r="F218" s="220"/>
      <c r="G218" s="220"/>
      <c r="H218" s="220"/>
      <c r="I218" s="220"/>
      <c r="J218" s="220"/>
      <c r="K218" s="220"/>
    </row>
    <row r="219" spans="2:16" ht="16.5" x14ac:dyDescent="0.35">
      <c r="B219" s="5" t="s">
        <v>408</v>
      </c>
      <c r="C219" s="5" t="s">
        <v>409</v>
      </c>
      <c r="D219" s="5" t="s">
        <v>410</v>
      </c>
      <c r="E219" s="5" t="s">
        <v>411</v>
      </c>
      <c r="F219" s="5" t="s">
        <v>25</v>
      </c>
      <c r="G219" s="5" t="s">
        <v>412</v>
      </c>
      <c r="H219" s="5" t="s">
        <v>413</v>
      </c>
      <c r="I219" s="5" t="s">
        <v>414</v>
      </c>
      <c r="J219" s="5" t="s">
        <v>415</v>
      </c>
      <c r="K219" s="5" t="s">
        <v>416</v>
      </c>
    </row>
    <row r="220" spans="2:16" x14ac:dyDescent="0.35">
      <c r="B220" s="5" t="s">
        <v>38</v>
      </c>
      <c r="C220" s="8">
        <f>D29/24</f>
        <v>1573.7214611872143</v>
      </c>
      <c r="D220" s="8">
        <f>((1000*3*9.81)+101325)/101325</f>
        <v>1.2904515173945226</v>
      </c>
      <c r="E220" s="5">
        <v>1.5</v>
      </c>
      <c r="F220" s="5">
        <v>25</v>
      </c>
      <c r="G220" s="5">
        <v>2.1480000000000001</v>
      </c>
      <c r="H220" s="5">
        <v>1.577</v>
      </c>
      <c r="I220" s="99">
        <v>0.75</v>
      </c>
      <c r="J220" s="161">
        <v>4780</v>
      </c>
      <c r="K220" s="5">
        <v>36.5</v>
      </c>
    </row>
    <row r="221" spans="2:16" x14ac:dyDescent="0.35">
      <c r="B221" s="5" t="s">
        <v>39</v>
      </c>
      <c r="C221" s="8">
        <f>E29/24</f>
        <v>9245.6135844748842</v>
      </c>
      <c r="D221" s="8">
        <f>D220</f>
        <v>1.2904515173945226</v>
      </c>
      <c r="E221" s="5">
        <v>1.5</v>
      </c>
      <c r="F221" s="5">
        <v>25</v>
      </c>
      <c r="G221" s="5">
        <v>2.1480000000000001</v>
      </c>
      <c r="H221" s="5">
        <v>9.2639999999999993</v>
      </c>
      <c r="I221" s="99">
        <v>0.75</v>
      </c>
      <c r="J221" s="161">
        <v>5230</v>
      </c>
      <c r="K221" s="5">
        <v>36.5</v>
      </c>
    </row>
    <row r="222" spans="2:16" x14ac:dyDescent="0.35">
      <c r="B222" s="5" t="s">
        <v>40</v>
      </c>
      <c r="C222" s="8">
        <f>F29/24</f>
        <v>4917.8795662100447</v>
      </c>
      <c r="D222" s="5">
        <v>0.5</v>
      </c>
      <c r="E222" s="5">
        <v>1.5</v>
      </c>
      <c r="F222" s="5">
        <v>25</v>
      </c>
      <c r="G222" s="5">
        <v>10.23</v>
      </c>
      <c r="H222" s="5">
        <v>4.9279999999999999</v>
      </c>
      <c r="I222" s="99">
        <v>0.75</v>
      </c>
      <c r="J222" s="161">
        <v>5000</v>
      </c>
      <c r="K222" s="5">
        <v>36.57</v>
      </c>
    </row>
    <row r="223" spans="2:16" x14ac:dyDescent="0.35">
      <c r="B223" s="5" t="s">
        <v>43</v>
      </c>
      <c r="C223" s="8">
        <f>I29/24</f>
        <v>9835.7591324200894</v>
      </c>
      <c r="D223" s="5">
        <v>1</v>
      </c>
      <c r="E223" s="5">
        <v>1.5</v>
      </c>
      <c r="F223" s="5">
        <v>25</v>
      </c>
      <c r="G223" s="5">
        <v>5.1139999999999999</v>
      </c>
      <c r="H223" s="5">
        <v>9.8450000000000006</v>
      </c>
      <c r="I223" s="99">
        <v>0.75</v>
      </c>
      <c r="J223" s="161">
        <v>5340</v>
      </c>
      <c r="K223" s="5">
        <v>36.57</v>
      </c>
    </row>
    <row r="224" spans="2:16" x14ac:dyDescent="0.35">
      <c r="B224" s="5" t="s">
        <v>46</v>
      </c>
      <c r="C224" s="8">
        <f>L29/24</f>
        <v>934.39711757990847</v>
      </c>
      <c r="D224" s="5">
        <v>0.5</v>
      </c>
      <c r="E224" s="5">
        <v>1</v>
      </c>
      <c r="F224" s="5">
        <v>25</v>
      </c>
      <c r="G224" s="5">
        <v>5.1139999999999999</v>
      </c>
      <c r="H224" s="5">
        <v>0.93630000000000002</v>
      </c>
      <c r="I224" s="99">
        <v>0.75</v>
      </c>
      <c r="J224" s="161">
        <v>4780</v>
      </c>
      <c r="K224" s="5">
        <v>36.51</v>
      </c>
    </row>
    <row r="225" spans="2:11" x14ac:dyDescent="0.35">
      <c r="B225" s="5" t="s">
        <v>47</v>
      </c>
      <c r="C225" s="8">
        <f>M29/24</f>
        <v>934.39711757990847</v>
      </c>
      <c r="D225" s="5">
        <v>1</v>
      </c>
      <c r="E225" s="5">
        <v>1.29</v>
      </c>
      <c r="F225" s="5">
        <v>35</v>
      </c>
      <c r="G225" s="5">
        <v>2.9750000000000001</v>
      </c>
      <c r="H225" s="5">
        <v>0.93630000000000002</v>
      </c>
      <c r="I225" s="99">
        <v>0.75</v>
      </c>
      <c r="J225" s="161">
        <v>4780</v>
      </c>
      <c r="K225" s="5">
        <v>36.51</v>
      </c>
    </row>
    <row r="226" spans="2:11" x14ac:dyDescent="0.35">
      <c r="B226" s="5" t="s">
        <v>49</v>
      </c>
      <c r="C226" s="8">
        <f>O29/24</f>
        <v>1422.7753443683407</v>
      </c>
      <c r="D226" s="5">
        <v>1</v>
      </c>
      <c r="E226" s="5">
        <v>1.5</v>
      </c>
      <c r="F226" s="5">
        <v>35</v>
      </c>
      <c r="G226" s="5">
        <v>5.1360000000000001</v>
      </c>
      <c r="H226" s="5">
        <v>1.4033</v>
      </c>
      <c r="I226" s="99">
        <v>0.75</v>
      </c>
      <c r="J226" s="161">
        <v>4780</v>
      </c>
      <c r="K226" s="5">
        <v>36.51</v>
      </c>
    </row>
    <row r="227" spans="2:11" x14ac:dyDescent="0.35">
      <c r="B227" s="5" t="s">
        <v>2</v>
      </c>
      <c r="C227" s="8">
        <f>P29/24</f>
        <v>623.86580883751901</v>
      </c>
      <c r="D227" s="5">
        <v>1</v>
      </c>
      <c r="E227" s="5">
        <v>1.5</v>
      </c>
      <c r="F227" s="5">
        <v>35</v>
      </c>
      <c r="G227" s="5">
        <v>3.081</v>
      </c>
      <c r="H227" s="5">
        <v>0.21329999999999999</v>
      </c>
      <c r="I227" s="99">
        <v>0.75</v>
      </c>
      <c r="J227" s="161">
        <v>4560</v>
      </c>
      <c r="K227" s="5">
        <v>36</v>
      </c>
    </row>
    <row r="228" spans="2:11" x14ac:dyDescent="0.35">
      <c r="B228" s="5"/>
      <c r="C228" s="8"/>
      <c r="D228" s="5"/>
      <c r="E228" s="5"/>
      <c r="F228" s="5"/>
      <c r="G228" s="5"/>
      <c r="H228" s="5"/>
      <c r="I228" s="99"/>
      <c r="J228" s="161"/>
      <c r="K228" s="5"/>
    </row>
    <row r="229" spans="2:11" x14ac:dyDescent="0.35">
      <c r="B229" s="5" t="s">
        <v>51</v>
      </c>
      <c r="C229" s="8">
        <f>R29/24</f>
        <v>802.45996835477001</v>
      </c>
      <c r="D229" s="5">
        <v>1</v>
      </c>
      <c r="E229" s="5">
        <v>1.29</v>
      </c>
      <c r="F229" s="5">
        <v>50</v>
      </c>
      <c r="G229" s="5">
        <v>5.1210000000000004</v>
      </c>
      <c r="H229" s="5">
        <v>0.6835</v>
      </c>
      <c r="I229" s="99">
        <v>0.75</v>
      </c>
      <c r="J229" s="161">
        <v>4780</v>
      </c>
      <c r="K229" s="5">
        <v>36.51</v>
      </c>
    </row>
    <row r="230" spans="2:11" x14ac:dyDescent="0.35">
      <c r="B230" s="5" t="s">
        <v>50</v>
      </c>
      <c r="C230" s="8">
        <f>Q29/24</f>
        <v>798.90953553082181</v>
      </c>
      <c r="D230" s="5">
        <v>1</v>
      </c>
      <c r="E230" s="5">
        <v>1.5</v>
      </c>
      <c r="F230" s="5">
        <v>25</v>
      </c>
      <c r="G230" s="5">
        <v>5.1139999999999999</v>
      </c>
      <c r="H230" s="5">
        <v>0.88680000000000003</v>
      </c>
      <c r="I230" s="99">
        <v>0.75</v>
      </c>
      <c r="J230" s="161">
        <v>4780</v>
      </c>
      <c r="K230" s="5">
        <v>36.51</v>
      </c>
    </row>
    <row r="231" spans="2:11" x14ac:dyDescent="0.35">
      <c r="B231" s="5" t="s">
        <v>53</v>
      </c>
      <c r="C231" s="8">
        <f>T29/24</f>
        <v>90.163279760786921</v>
      </c>
      <c r="D231" s="5">
        <v>1</v>
      </c>
      <c r="E231" s="5">
        <v>1.29</v>
      </c>
      <c r="F231" s="5">
        <v>96</v>
      </c>
      <c r="G231" s="5">
        <v>5.1360000000000001</v>
      </c>
      <c r="H231" s="5">
        <v>1.5678000000000001</v>
      </c>
      <c r="I231" s="99">
        <v>0.75</v>
      </c>
      <c r="J231" s="161">
        <v>4780</v>
      </c>
      <c r="K231" s="5">
        <v>36.51</v>
      </c>
    </row>
    <row r="233" spans="2:11" x14ac:dyDescent="0.35">
      <c r="B233" s="220" t="s">
        <v>417</v>
      </c>
      <c r="C233" s="220"/>
      <c r="D233" s="220"/>
      <c r="E233" s="220"/>
      <c r="F233" s="220"/>
      <c r="G233" s="220"/>
      <c r="H233" s="220"/>
      <c r="I233" s="220"/>
      <c r="J233" s="220"/>
      <c r="K233" s="220"/>
    </row>
    <row r="234" spans="2:11" ht="16.5" x14ac:dyDescent="0.35">
      <c r="B234" s="5" t="s">
        <v>418</v>
      </c>
      <c r="C234" s="5" t="s">
        <v>419</v>
      </c>
      <c r="D234" s="5" t="s">
        <v>25</v>
      </c>
      <c r="E234" s="5" t="s">
        <v>420</v>
      </c>
      <c r="F234" s="5" t="s">
        <v>421</v>
      </c>
      <c r="G234" s="5" t="s">
        <v>422</v>
      </c>
      <c r="H234" s="5" t="s">
        <v>423</v>
      </c>
      <c r="I234" s="5" t="s">
        <v>647</v>
      </c>
      <c r="J234" s="5" t="s">
        <v>424</v>
      </c>
      <c r="K234" s="5"/>
    </row>
    <row r="235" spans="2:11" x14ac:dyDescent="0.35">
      <c r="B235" s="8">
        <f>O29/24</f>
        <v>1422.7753443683407</v>
      </c>
      <c r="C235" s="5">
        <f>O72</f>
        <v>1</v>
      </c>
      <c r="D235" s="5">
        <v>35</v>
      </c>
      <c r="E235" s="8">
        <f>O73</f>
        <v>1.4227753443683409</v>
      </c>
      <c r="F235" s="5">
        <v>2.286</v>
      </c>
      <c r="G235" s="5">
        <v>0.30480000000000002</v>
      </c>
      <c r="H235" s="5"/>
      <c r="I235" s="5">
        <f>(2*PI()*(G235/2))*F235</f>
        <v>2.1889763097011903</v>
      </c>
      <c r="J235" s="161">
        <v>47000</v>
      </c>
      <c r="K235" s="5"/>
    </row>
    <row r="237" spans="2:11" x14ac:dyDescent="0.35">
      <c r="B237" s="220" t="s">
        <v>425</v>
      </c>
      <c r="C237" s="220"/>
      <c r="D237" s="220"/>
      <c r="E237" s="220"/>
      <c r="F237" s="220"/>
      <c r="G237" s="220"/>
      <c r="H237" s="220"/>
      <c r="I237" s="220"/>
      <c r="J237" s="220"/>
      <c r="K237" s="220"/>
    </row>
    <row r="238" spans="2:11" ht="16.5" x14ac:dyDescent="0.35">
      <c r="B238" s="5" t="s">
        <v>418</v>
      </c>
      <c r="C238" s="5" t="s">
        <v>419</v>
      </c>
      <c r="D238" s="5" t="s">
        <v>25</v>
      </c>
      <c r="E238" s="5" t="s">
        <v>420</v>
      </c>
      <c r="F238" s="5" t="s">
        <v>421</v>
      </c>
      <c r="G238" s="5" t="s">
        <v>422</v>
      </c>
      <c r="H238" s="5" t="s">
        <v>423</v>
      </c>
      <c r="I238" s="5" t="s">
        <v>647</v>
      </c>
      <c r="J238" s="5" t="s">
        <v>424</v>
      </c>
      <c r="K238" s="5"/>
    </row>
    <row r="239" spans="2:11" x14ac:dyDescent="0.35">
      <c r="B239" s="8">
        <f>R29/24</f>
        <v>802.45996835477001</v>
      </c>
      <c r="C239" s="5">
        <f>O67</f>
        <v>4</v>
      </c>
      <c r="D239" s="5">
        <v>50</v>
      </c>
      <c r="E239" s="8">
        <f>O68</f>
        <v>3.2098398734190803</v>
      </c>
      <c r="F239" s="5">
        <v>2.44</v>
      </c>
      <c r="G239" s="5">
        <v>0.4572</v>
      </c>
      <c r="H239" s="5"/>
      <c r="I239" s="5">
        <f>(2*PI()*(G239/2))*F239</f>
        <v>3.504660233379858</v>
      </c>
      <c r="J239" s="161">
        <v>64500</v>
      </c>
      <c r="K239" s="5"/>
    </row>
    <row r="241" spans="1:11" x14ac:dyDescent="0.35">
      <c r="B241" s="220" t="s">
        <v>120</v>
      </c>
      <c r="C241" s="220"/>
      <c r="D241" s="220"/>
      <c r="E241" s="220"/>
      <c r="F241" s="220"/>
      <c r="G241" s="220"/>
      <c r="H241" s="220"/>
      <c r="I241" s="220"/>
      <c r="J241" s="220"/>
      <c r="K241" s="220"/>
    </row>
    <row r="242" spans="1:11" x14ac:dyDescent="0.35">
      <c r="B242" s="5" t="s">
        <v>426</v>
      </c>
      <c r="C242" s="5" t="s">
        <v>427</v>
      </c>
      <c r="D242" s="5" t="s">
        <v>428</v>
      </c>
      <c r="E242" s="5"/>
      <c r="F242" s="5"/>
      <c r="G242" s="5" t="s">
        <v>422</v>
      </c>
      <c r="H242" s="5" t="s">
        <v>423</v>
      </c>
      <c r="I242" s="5"/>
      <c r="J242" s="5" t="s">
        <v>424</v>
      </c>
      <c r="K242" s="5"/>
    </row>
    <row r="243" spans="1:11" x14ac:dyDescent="0.35">
      <c r="B243" s="8">
        <f>O29/24</f>
        <v>1422.7753443683407</v>
      </c>
      <c r="C243" s="8">
        <f>Q29/24</f>
        <v>798.90953553082181</v>
      </c>
      <c r="D243" s="8">
        <f>P29/24</f>
        <v>623.86580883751901</v>
      </c>
      <c r="E243" s="8"/>
      <c r="F243" s="5"/>
      <c r="G243" s="5">
        <v>0.254</v>
      </c>
      <c r="H243" s="5">
        <v>44.91</v>
      </c>
      <c r="I243" s="5"/>
      <c r="J243" s="161">
        <v>274000</v>
      </c>
      <c r="K243" s="5"/>
    </row>
    <row r="245" spans="1:11" x14ac:dyDescent="0.35">
      <c r="B245" s="220" t="s">
        <v>429</v>
      </c>
      <c r="C245" s="220"/>
      <c r="D245" s="220"/>
      <c r="E245" s="220"/>
      <c r="F245" s="220"/>
      <c r="G245" s="220"/>
      <c r="H245" s="220"/>
      <c r="I245" s="220"/>
      <c r="J245" s="220"/>
      <c r="K245" s="220"/>
    </row>
    <row r="246" spans="1:11" ht="16.5" x14ac:dyDescent="0.35">
      <c r="B246" s="5" t="s">
        <v>418</v>
      </c>
      <c r="C246" s="5" t="s">
        <v>419</v>
      </c>
      <c r="D246" s="5" t="s">
        <v>25</v>
      </c>
      <c r="E246" s="5" t="s">
        <v>420</v>
      </c>
      <c r="F246" s="5" t="s">
        <v>421</v>
      </c>
      <c r="G246" s="5" t="s">
        <v>422</v>
      </c>
      <c r="H246" s="5" t="s">
        <v>423</v>
      </c>
      <c r="I246" s="5" t="s">
        <v>647</v>
      </c>
      <c r="J246" s="5" t="s">
        <v>424</v>
      </c>
      <c r="K246" s="5"/>
    </row>
    <row r="247" spans="1:11" x14ac:dyDescent="0.35">
      <c r="A247" s="3" t="s">
        <v>35</v>
      </c>
      <c r="B247" s="8">
        <f>T29/24</f>
        <v>90.163279760786921</v>
      </c>
      <c r="C247" s="5">
        <v>24</v>
      </c>
      <c r="D247" s="5">
        <v>25</v>
      </c>
      <c r="E247" s="8">
        <f>T67</f>
        <v>2.163918714258886</v>
      </c>
      <c r="F247" s="5">
        <v>1.8360000000000001</v>
      </c>
      <c r="G247" s="5">
        <v>1.224</v>
      </c>
      <c r="H247" s="5">
        <v>35.119999999999997</v>
      </c>
      <c r="I247" s="5">
        <f>(2*PI()*(G247/2))*F247</f>
        <v>7.0599880730768128</v>
      </c>
      <c r="J247" s="161">
        <v>14400</v>
      </c>
      <c r="K247" s="5"/>
    </row>
    <row r="248" spans="1:11" x14ac:dyDescent="0.35">
      <c r="A248" s="3" t="s">
        <v>401</v>
      </c>
      <c r="B248" s="8">
        <f>R29/24</f>
        <v>802.45996835477001</v>
      </c>
      <c r="C248" s="5">
        <v>24</v>
      </c>
      <c r="D248" s="5">
        <v>25</v>
      </c>
      <c r="E248" s="8">
        <f>T72</f>
        <v>19.259039240514483</v>
      </c>
      <c r="F248" s="5">
        <v>3.806</v>
      </c>
      <c r="G248" s="5">
        <v>2.5369999999999999</v>
      </c>
      <c r="H248" s="5">
        <v>35.119999999999997</v>
      </c>
      <c r="I248" s="5">
        <f>(2*PI()*(G248/2))*F248</f>
        <v>30.334659459570702</v>
      </c>
      <c r="J248" s="161">
        <v>29500</v>
      </c>
      <c r="K248" s="73"/>
    </row>
  </sheetData>
  <mergeCells count="103">
    <mergeCell ref="U3:AG3"/>
    <mergeCell ref="N5:O5"/>
    <mergeCell ref="V5:X5"/>
    <mergeCell ref="Y5:AA5"/>
    <mergeCell ref="AB5:AD5"/>
    <mergeCell ref="N10:O10"/>
    <mergeCell ref="B34:B35"/>
    <mergeCell ref="X34:Z34"/>
    <mergeCell ref="AB34:AD34"/>
    <mergeCell ref="B36:B37"/>
    <mergeCell ref="B38:B39"/>
    <mergeCell ref="AB38:AD38"/>
    <mergeCell ref="AB11:AD11"/>
    <mergeCell ref="AB16:AD16"/>
    <mergeCell ref="X26:Z26"/>
    <mergeCell ref="AB26:AD26"/>
    <mergeCell ref="B28:B29"/>
    <mergeCell ref="B32:B33"/>
    <mergeCell ref="B48:B49"/>
    <mergeCell ref="AB48:AD48"/>
    <mergeCell ref="AB49:AB50"/>
    <mergeCell ref="X51:Z51"/>
    <mergeCell ref="B52:D52"/>
    <mergeCell ref="AB52:AB54"/>
    <mergeCell ref="B54:E54"/>
    <mergeCell ref="B40:B41"/>
    <mergeCell ref="B42:B43"/>
    <mergeCell ref="X43:Z43"/>
    <mergeCell ref="AB43:AD43"/>
    <mergeCell ref="B44:B45"/>
    <mergeCell ref="B46:B47"/>
    <mergeCell ref="B62:P62"/>
    <mergeCell ref="X62:AD62"/>
    <mergeCell ref="B64:D64"/>
    <mergeCell ref="F64:H64"/>
    <mergeCell ref="J64:L64"/>
    <mergeCell ref="N64:P64"/>
    <mergeCell ref="S64:U64"/>
    <mergeCell ref="X64:X65"/>
    <mergeCell ref="AB64:AD64"/>
    <mergeCell ref="AB65:AB66"/>
    <mergeCell ref="B75:P75"/>
    <mergeCell ref="AB75:AB76"/>
    <mergeCell ref="B77:G77"/>
    <mergeCell ref="I77:P77"/>
    <mergeCell ref="C78:D78"/>
    <mergeCell ref="F78:G78"/>
    <mergeCell ref="K78:L78"/>
    <mergeCell ref="J69:L69"/>
    <mergeCell ref="S69:U69"/>
    <mergeCell ref="F70:H70"/>
    <mergeCell ref="N70:P70"/>
    <mergeCell ref="B72:D72"/>
    <mergeCell ref="AB72:AD72"/>
    <mergeCell ref="X71:X72"/>
    <mergeCell ref="B105:C105"/>
    <mergeCell ref="B106:D106"/>
    <mergeCell ref="I106:M106"/>
    <mergeCell ref="B108:D108"/>
    <mergeCell ref="B119:D119"/>
    <mergeCell ref="B121:B122"/>
    <mergeCell ref="X79:AD79"/>
    <mergeCell ref="X81:X82"/>
    <mergeCell ref="AB81:AD81"/>
    <mergeCell ref="AB82:AB83"/>
    <mergeCell ref="AB89:AD89"/>
    <mergeCell ref="AB92:AB93"/>
    <mergeCell ref="Z132:AA132"/>
    <mergeCell ref="AB132:AC132"/>
    <mergeCell ref="AD132:AE132"/>
    <mergeCell ref="B135:B136"/>
    <mergeCell ref="V135:W135"/>
    <mergeCell ref="R136:S136"/>
    <mergeCell ref="I123:M123"/>
    <mergeCell ref="B124:B125"/>
    <mergeCell ref="B127:B128"/>
    <mergeCell ref="B131:B133"/>
    <mergeCell ref="I132:N132"/>
    <mergeCell ref="Q132:S132"/>
    <mergeCell ref="B233:K233"/>
    <mergeCell ref="B237:K237"/>
    <mergeCell ref="B241:K241"/>
    <mergeCell ref="B245:K245"/>
    <mergeCell ref="X86:X87"/>
    <mergeCell ref="C189:F189"/>
    <mergeCell ref="B194:P194"/>
    <mergeCell ref="B209:B210"/>
    <mergeCell ref="B211:B212"/>
    <mergeCell ref="B216:P216"/>
    <mergeCell ref="B218:K218"/>
    <mergeCell ref="B174:I174"/>
    <mergeCell ref="K174:R174"/>
    <mergeCell ref="C185:F185"/>
    <mergeCell ref="C186:F186"/>
    <mergeCell ref="C187:F187"/>
    <mergeCell ref="C188:F188"/>
    <mergeCell ref="B138:B139"/>
    <mergeCell ref="B142:B143"/>
    <mergeCell ref="B145:D145"/>
    <mergeCell ref="B156:D156"/>
    <mergeCell ref="I161:L161"/>
    <mergeCell ref="B169:B170"/>
    <mergeCell ref="U132:W132"/>
  </mergeCells>
  <hyperlinks>
    <hyperlink ref="AA22" r:id="rId1" xr:uid="{051DE484-B147-4191-AC61-AC09FA7C0B94}"/>
    <hyperlink ref="R176" r:id="rId2" display="https://blogs.worldbank.org/opendata/fertilizer-prices-expected-remain-higher-longer" xr:uid="{A4D01B3D-0D87-4CE6-9E48-EF981031A91D}"/>
    <hyperlink ref="H178" r:id="rId3" xr:uid="{E68A65A4-FE07-4C45-8E37-3B29ADAA0790}"/>
  </hyperlinks>
  <pageMargins left="0.7" right="0.7" top="0.75" bottom="0.75" header="0.3" footer="0.3"/>
  <pageSetup paperSize="9"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B340-B383-444E-89C9-6AE375EBAB19}">
  <dimension ref="B2:V76"/>
  <sheetViews>
    <sheetView topLeftCell="A17" zoomScale="70" zoomScaleNormal="70" workbookViewId="0">
      <selection activeCell="M50" sqref="M50:U62"/>
    </sheetView>
  </sheetViews>
  <sheetFormatPr baseColWidth="10" defaultRowHeight="14.5" x14ac:dyDescent="0.35"/>
  <cols>
    <col min="2" max="2" width="17.08984375" bestFit="1" customWidth="1"/>
    <col min="12" max="12" width="12.6328125" bestFit="1" customWidth="1"/>
    <col min="13" max="13" width="16.81640625" customWidth="1"/>
    <col min="17" max="17" width="22" customWidth="1"/>
  </cols>
  <sheetData>
    <row r="2" spans="2:22" x14ac:dyDescent="0.35">
      <c r="B2" s="273" t="s">
        <v>503</v>
      </c>
      <c r="C2" s="273"/>
      <c r="D2" s="273"/>
      <c r="E2" s="273"/>
      <c r="F2" s="273"/>
      <c r="G2" s="273"/>
      <c r="H2" s="273"/>
      <c r="M2" s="273" t="s">
        <v>610</v>
      </c>
      <c r="N2" s="273"/>
      <c r="O2" s="273"/>
      <c r="P2" s="273"/>
      <c r="Q2" s="273"/>
      <c r="R2" s="273"/>
      <c r="S2" s="273"/>
    </row>
    <row r="4" spans="2:22" x14ac:dyDescent="0.35">
      <c r="B4" s="69" t="s">
        <v>507</v>
      </c>
      <c r="C4" s="69" t="s">
        <v>508</v>
      </c>
      <c r="D4" s="69" t="s">
        <v>477</v>
      </c>
      <c r="E4" s="239" t="s">
        <v>509</v>
      </c>
      <c r="F4" s="239"/>
      <c r="G4" s="239"/>
      <c r="H4" s="239"/>
      <c r="I4" s="239"/>
      <c r="J4" s="239"/>
      <c r="M4" s="69" t="s">
        <v>611</v>
      </c>
      <c r="N4" s="69" t="s">
        <v>516</v>
      </c>
      <c r="O4" s="69" t="s">
        <v>477</v>
      </c>
      <c r="P4" s="239" t="s">
        <v>509</v>
      </c>
      <c r="Q4" s="239"/>
      <c r="R4" s="239"/>
      <c r="S4" s="239"/>
      <c r="T4" s="239"/>
      <c r="U4" s="239"/>
    </row>
    <row r="5" spans="2:22" ht="16.5" x14ac:dyDescent="0.35">
      <c r="B5" s="184" t="s">
        <v>510</v>
      </c>
      <c r="C5" s="5">
        <v>2200</v>
      </c>
      <c r="D5" s="5" t="s">
        <v>511</v>
      </c>
      <c r="E5" s="228" t="s">
        <v>512</v>
      </c>
      <c r="F5" s="228"/>
      <c r="G5" s="228"/>
      <c r="H5" s="228"/>
      <c r="I5" s="228"/>
      <c r="J5" s="228"/>
      <c r="M5" s="184" t="s">
        <v>440</v>
      </c>
      <c r="N5" s="8">
        <f>'[2]Scenario 1'!Y125</f>
        <v>0</v>
      </c>
      <c r="O5" s="5" t="s">
        <v>612</v>
      </c>
      <c r="P5" s="276" t="s">
        <v>613</v>
      </c>
      <c r="Q5" s="277"/>
      <c r="R5" s="277"/>
      <c r="S5" s="277"/>
      <c r="T5" s="277"/>
      <c r="U5" s="278"/>
      <c r="V5" s="14" t="s">
        <v>614</v>
      </c>
    </row>
    <row r="6" spans="2:22" ht="16.5" x14ac:dyDescent="0.35">
      <c r="B6" s="184" t="s">
        <v>513</v>
      </c>
      <c r="C6" s="5">
        <v>2490</v>
      </c>
      <c r="D6" s="5" t="s">
        <v>511</v>
      </c>
      <c r="E6" s="288" t="s">
        <v>514</v>
      </c>
      <c r="F6" s="228"/>
      <c r="G6" s="228"/>
      <c r="H6" s="228"/>
      <c r="I6" s="228"/>
      <c r="J6" s="228"/>
      <c r="M6" s="184" t="s">
        <v>615</v>
      </c>
      <c r="N6" s="5">
        <f>(300+188)/2</f>
        <v>244</v>
      </c>
      <c r="O6" s="5" t="s">
        <v>616</v>
      </c>
      <c r="P6" s="274" t="s">
        <v>617</v>
      </c>
      <c r="Q6" s="223"/>
      <c r="R6" s="223"/>
      <c r="S6" s="223"/>
      <c r="T6" s="223"/>
      <c r="U6" s="224"/>
      <c r="V6" s="14" t="s">
        <v>614</v>
      </c>
    </row>
    <row r="7" spans="2:22" x14ac:dyDescent="0.35">
      <c r="M7" s="286" t="s">
        <v>618</v>
      </c>
      <c r="N7" s="5">
        <v>0.18</v>
      </c>
      <c r="O7" s="5" t="s">
        <v>619</v>
      </c>
      <c r="P7" s="280" t="s">
        <v>620</v>
      </c>
      <c r="Q7" s="281"/>
      <c r="R7" s="281"/>
      <c r="S7" s="281"/>
      <c r="T7" s="281"/>
      <c r="U7" s="282"/>
      <c r="V7" s="14" t="s">
        <v>614</v>
      </c>
    </row>
    <row r="8" spans="2:22" x14ac:dyDescent="0.35">
      <c r="B8" s="69" t="s">
        <v>515</v>
      </c>
      <c r="C8" s="69" t="s">
        <v>516</v>
      </c>
      <c r="D8" s="69" t="s">
        <v>477</v>
      </c>
      <c r="E8" s="239" t="s">
        <v>509</v>
      </c>
      <c r="F8" s="239"/>
      <c r="G8" s="239"/>
      <c r="H8" s="239"/>
      <c r="I8" s="239"/>
      <c r="J8" s="239"/>
      <c r="M8" s="287"/>
      <c r="N8" s="5">
        <f>(N7*850)/1000</f>
        <v>0.153</v>
      </c>
      <c r="O8" s="5" t="s">
        <v>621</v>
      </c>
      <c r="P8" s="283"/>
      <c r="Q8" s="284"/>
      <c r="R8" s="284"/>
      <c r="S8" s="284"/>
      <c r="T8" s="284"/>
      <c r="U8" s="285"/>
      <c r="V8" s="14"/>
    </row>
    <row r="9" spans="2:22" ht="16.5" x14ac:dyDescent="0.35">
      <c r="B9" s="184" t="s">
        <v>517</v>
      </c>
      <c r="C9" s="8">
        <f>'Escenario 3'!AC36</f>
        <v>1133.0794520547945</v>
      </c>
      <c r="D9" s="5" t="s">
        <v>147</v>
      </c>
      <c r="E9" s="222" t="s">
        <v>518</v>
      </c>
      <c r="F9" s="223"/>
      <c r="G9" s="223"/>
      <c r="H9" s="223"/>
      <c r="I9" s="223"/>
      <c r="J9" s="224"/>
      <c r="M9" s="271" t="s">
        <v>279</v>
      </c>
      <c r="N9" s="5">
        <v>42.8</v>
      </c>
      <c r="O9" s="5" t="s">
        <v>622</v>
      </c>
      <c r="P9" s="280" t="s">
        <v>623</v>
      </c>
      <c r="Q9" s="281"/>
      <c r="R9" s="281"/>
      <c r="S9" s="281"/>
      <c r="T9" s="281"/>
      <c r="U9" s="282"/>
      <c r="V9" s="14"/>
    </row>
    <row r="10" spans="2:22" ht="16.5" x14ac:dyDescent="0.35">
      <c r="B10" s="184" t="s">
        <v>93</v>
      </c>
      <c r="C10" s="8">
        <f>'Escenario 3'!AC35</f>
        <v>28326.986301369863</v>
      </c>
      <c r="D10" s="5" t="s">
        <v>94</v>
      </c>
      <c r="E10" s="222" t="s">
        <v>518</v>
      </c>
      <c r="F10" s="223"/>
      <c r="G10" s="223"/>
      <c r="H10" s="223"/>
      <c r="I10" s="223"/>
      <c r="J10" s="224"/>
      <c r="M10" s="271"/>
      <c r="N10" s="5">
        <f>N8*N9</f>
        <v>6.5483999999999991</v>
      </c>
      <c r="O10" s="5" t="s">
        <v>624</v>
      </c>
      <c r="P10" s="283"/>
      <c r="Q10" s="284"/>
      <c r="R10" s="284"/>
      <c r="S10" s="284"/>
      <c r="T10" s="284"/>
      <c r="U10" s="285"/>
      <c r="V10" s="14"/>
    </row>
    <row r="11" spans="2:22" x14ac:dyDescent="0.35">
      <c r="B11" s="184" t="s">
        <v>519</v>
      </c>
      <c r="C11" s="8">
        <v>4</v>
      </c>
      <c r="D11" s="5" t="s">
        <v>520</v>
      </c>
      <c r="E11" s="222" t="s">
        <v>521</v>
      </c>
      <c r="F11" s="223"/>
      <c r="G11" s="223"/>
      <c r="H11" s="223"/>
      <c r="I11" s="223"/>
      <c r="J11" s="224"/>
      <c r="M11" s="165"/>
      <c r="O11" s="165"/>
      <c r="P11" s="202"/>
      <c r="Q11" s="202"/>
      <c r="R11" s="202"/>
      <c r="S11" s="202"/>
      <c r="T11" s="202"/>
      <c r="U11" s="202"/>
      <c r="V11" s="14"/>
    </row>
    <row r="12" spans="2:22" x14ac:dyDescent="0.35">
      <c r="B12" s="184" t="s">
        <v>522</v>
      </c>
      <c r="C12" s="185">
        <v>10</v>
      </c>
      <c r="D12" s="5" t="s">
        <v>523</v>
      </c>
      <c r="E12" s="222" t="s">
        <v>524</v>
      </c>
      <c r="F12" s="223"/>
      <c r="G12" s="223"/>
      <c r="H12" s="223"/>
      <c r="I12" s="223"/>
      <c r="J12" s="224"/>
      <c r="M12" s="69" t="s">
        <v>611</v>
      </c>
      <c r="N12" s="69" t="s">
        <v>516</v>
      </c>
      <c r="O12" s="69" t="s">
        <v>477</v>
      </c>
      <c r="P12" s="239" t="s">
        <v>509</v>
      </c>
      <c r="Q12" s="239"/>
      <c r="R12" s="239"/>
      <c r="S12" s="239"/>
      <c r="T12" s="239"/>
      <c r="U12" s="239"/>
      <c r="V12" s="14"/>
    </row>
    <row r="13" spans="2:22" ht="16.5" x14ac:dyDescent="0.35">
      <c r="B13" s="184" t="s">
        <v>525</v>
      </c>
      <c r="C13" s="67">
        <v>320</v>
      </c>
      <c r="D13" s="5" t="s">
        <v>526</v>
      </c>
      <c r="E13" s="222" t="s">
        <v>527</v>
      </c>
      <c r="F13" s="223"/>
      <c r="G13" s="223"/>
      <c r="H13" s="223"/>
      <c r="I13" s="223"/>
      <c r="J13" s="224"/>
      <c r="M13" s="184" t="s">
        <v>440</v>
      </c>
      <c r="N13" s="8">
        <f>'Escenario 3'!$R$28</f>
        <v>19.259039240514483</v>
      </c>
      <c r="O13" s="5" t="s">
        <v>86</v>
      </c>
      <c r="P13" s="276" t="s">
        <v>625</v>
      </c>
      <c r="Q13" s="277"/>
      <c r="R13" s="277"/>
      <c r="S13" s="277"/>
      <c r="T13" s="277"/>
      <c r="U13" s="278"/>
      <c r="V13" s="14"/>
    </row>
    <row r="14" spans="2:22" ht="16.5" x14ac:dyDescent="0.35">
      <c r="B14" s="184" t="s">
        <v>528</v>
      </c>
      <c r="C14" s="185">
        <v>570</v>
      </c>
      <c r="D14" s="5" t="s">
        <v>526</v>
      </c>
      <c r="E14" s="274" t="s">
        <v>529</v>
      </c>
      <c r="F14" s="223"/>
      <c r="G14" s="223"/>
      <c r="H14" s="223"/>
      <c r="I14" s="223"/>
      <c r="J14" s="224"/>
      <c r="M14" s="271" t="s">
        <v>626</v>
      </c>
      <c r="N14" s="28">
        <v>10</v>
      </c>
      <c r="O14" s="28" t="s">
        <v>184</v>
      </c>
      <c r="P14" s="279" t="s">
        <v>614</v>
      </c>
      <c r="Q14" s="279"/>
      <c r="R14" s="279"/>
      <c r="S14" s="279"/>
      <c r="T14" s="279"/>
      <c r="U14" s="279"/>
      <c r="V14" s="14"/>
    </row>
    <row r="15" spans="2:22" ht="16.5" x14ac:dyDescent="0.35">
      <c r="B15" s="184" t="s">
        <v>530</v>
      </c>
      <c r="C15" s="5">
        <v>50</v>
      </c>
      <c r="D15" s="5" t="s">
        <v>531</v>
      </c>
      <c r="E15" s="222" t="s">
        <v>532</v>
      </c>
      <c r="F15" s="223"/>
      <c r="G15" s="223"/>
      <c r="H15" s="223"/>
      <c r="I15" s="223"/>
      <c r="J15" s="224"/>
      <c r="M15" s="271"/>
      <c r="N15" s="48">
        <f>(N13*1000)/(N14*1000)</f>
        <v>1.9259039240514482</v>
      </c>
      <c r="O15" s="28" t="s">
        <v>627</v>
      </c>
      <c r="P15" s="279"/>
      <c r="Q15" s="279"/>
      <c r="R15" s="279"/>
      <c r="S15" s="279"/>
      <c r="T15" s="279"/>
      <c r="U15" s="279"/>
      <c r="V15" s="14"/>
    </row>
    <row r="16" spans="2:22" x14ac:dyDescent="0.35">
      <c r="M16" s="184" t="s">
        <v>432</v>
      </c>
      <c r="N16" s="8">
        <f>(N14*N15)*N6</f>
        <v>4699.205574685534</v>
      </c>
      <c r="O16" s="5" t="s">
        <v>628</v>
      </c>
      <c r="P16" s="276" t="s">
        <v>625</v>
      </c>
      <c r="Q16" s="277"/>
      <c r="R16" s="277"/>
      <c r="S16" s="277"/>
      <c r="T16" s="277"/>
      <c r="U16" s="278"/>
      <c r="V16" s="14"/>
    </row>
    <row r="17" spans="2:21" x14ac:dyDescent="0.35">
      <c r="B17" s="69" t="s">
        <v>533</v>
      </c>
      <c r="C17" s="69" t="s">
        <v>516</v>
      </c>
      <c r="D17" s="69" t="s">
        <v>477</v>
      </c>
      <c r="E17" s="239" t="s">
        <v>509</v>
      </c>
      <c r="F17" s="239"/>
      <c r="G17" s="239"/>
      <c r="H17" s="239"/>
      <c r="I17" s="239"/>
      <c r="J17" s="239"/>
    </row>
    <row r="18" spans="2:21" x14ac:dyDescent="0.35">
      <c r="B18" s="286" t="s">
        <v>534</v>
      </c>
      <c r="C18" s="8">
        <f>C10*(C13/1000)</f>
        <v>9064.635616438356</v>
      </c>
      <c r="D18" s="28" t="s">
        <v>535</v>
      </c>
      <c r="E18" s="222" t="s">
        <v>527</v>
      </c>
      <c r="F18" s="223"/>
      <c r="G18" s="223"/>
      <c r="H18" s="223"/>
      <c r="I18" s="223"/>
      <c r="J18" s="224"/>
      <c r="M18" s="273" t="s">
        <v>629</v>
      </c>
      <c r="N18" s="273"/>
      <c r="O18" s="273"/>
      <c r="P18" s="273"/>
      <c r="Q18" s="273"/>
      <c r="R18" s="273"/>
      <c r="S18" s="273"/>
    </row>
    <row r="19" spans="2:21" x14ac:dyDescent="0.35">
      <c r="B19" s="287"/>
      <c r="C19" s="8">
        <f>C18/C12</f>
        <v>906.46356164383565</v>
      </c>
      <c r="D19" s="28" t="s">
        <v>536</v>
      </c>
      <c r="E19" s="272" t="s">
        <v>537</v>
      </c>
      <c r="F19" s="272"/>
      <c r="G19" s="272"/>
      <c r="H19" s="272"/>
      <c r="I19" s="272"/>
      <c r="J19" s="272"/>
    </row>
    <row r="20" spans="2:21" x14ac:dyDescent="0.35">
      <c r="B20" s="271" t="s">
        <v>538</v>
      </c>
      <c r="C20" s="48">
        <f>(C14/1000)*C10</f>
        <v>16146.38219178082</v>
      </c>
      <c r="D20" s="28" t="s">
        <v>535</v>
      </c>
      <c r="E20" s="272" t="s">
        <v>512</v>
      </c>
      <c r="F20" s="272"/>
      <c r="G20" s="272"/>
      <c r="H20" s="272"/>
      <c r="I20" s="272"/>
      <c r="J20" s="272"/>
      <c r="M20" s="69" t="s">
        <v>611</v>
      </c>
      <c r="N20" s="69" t="s">
        <v>516</v>
      </c>
      <c r="O20" s="69" t="s">
        <v>477</v>
      </c>
      <c r="P20" s="239" t="s">
        <v>509</v>
      </c>
      <c r="Q20" s="239"/>
      <c r="R20" s="239"/>
      <c r="S20" s="239"/>
      <c r="T20" s="239"/>
      <c r="U20" s="239"/>
    </row>
    <row r="21" spans="2:21" ht="16.5" x14ac:dyDescent="0.35">
      <c r="B21" s="271"/>
      <c r="C21" s="48">
        <f>C20/C12</f>
        <v>1614.638219178082</v>
      </c>
      <c r="D21" s="28" t="s">
        <v>536</v>
      </c>
      <c r="E21" s="272" t="s">
        <v>537</v>
      </c>
      <c r="F21" s="272"/>
      <c r="G21" s="272"/>
      <c r="H21" s="272"/>
      <c r="I21" s="272"/>
      <c r="J21" s="272"/>
      <c r="M21" s="184" t="s">
        <v>448</v>
      </c>
      <c r="N21" s="8">
        <f>'Escenario 3'!$D$28</f>
        <v>37.76931506849315</v>
      </c>
      <c r="O21" s="5" t="s">
        <v>86</v>
      </c>
      <c r="P21" s="276" t="s">
        <v>625</v>
      </c>
      <c r="Q21" s="277"/>
      <c r="R21" s="277"/>
      <c r="S21" s="277"/>
      <c r="T21" s="277"/>
      <c r="U21" s="278"/>
    </row>
    <row r="22" spans="2:21" x14ac:dyDescent="0.35">
      <c r="M22" s="271" t="s">
        <v>626</v>
      </c>
      <c r="N22" s="28">
        <v>10</v>
      </c>
      <c r="O22" s="28" t="s">
        <v>184</v>
      </c>
      <c r="P22" s="279" t="s">
        <v>614</v>
      </c>
      <c r="Q22" s="279"/>
      <c r="R22" s="279"/>
      <c r="S22" s="279"/>
      <c r="T22" s="279"/>
      <c r="U22" s="279"/>
    </row>
    <row r="23" spans="2:21" x14ac:dyDescent="0.35">
      <c r="B23" s="273" t="s">
        <v>553</v>
      </c>
      <c r="C23" s="273"/>
      <c r="D23" s="273"/>
      <c r="E23" s="273"/>
      <c r="F23" s="273"/>
      <c r="G23" s="273"/>
      <c r="H23" s="273"/>
      <c r="M23" s="271"/>
      <c r="N23" s="48">
        <f>(N21*1000)/(N22*1000)</f>
        <v>3.7769315068493148</v>
      </c>
      <c r="O23" s="28" t="s">
        <v>627</v>
      </c>
      <c r="P23" s="279"/>
      <c r="Q23" s="279"/>
      <c r="R23" s="279"/>
      <c r="S23" s="279"/>
      <c r="T23" s="279"/>
      <c r="U23" s="279"/>
    </row>
    <row r="24" spans="2:21" x14ac:dyDescent="0.35">
      <c r="M24" s="184" t="s">
        <v>432</v>
      </c>
      <c r="N24" s="8">
        <f>(N22*N23)*15</f>
        <v>566.53972602739725</v>
      </c>
      <c r="O24" s="5" t="s">
        <v>628</v>
      </c>
      <c r="P24" s="276" t="s">
        <v>625</v>
      </c>
      <c r="Q24" s="277"/>
      <c r="R24" s="277"/>
      <c r="S24" s="277"/>
      <c r="T24" s="277"/>
      <c r="U24" s="278"/>
    </row>
    <row r="25" spans="2:21" x14ac:dyDescent="0.35">
      <c r="B25" s="69" t="s">
        <v>554</v>
      </c>
      <c r="C25" s="69" t="s">
        <v>516</v>
      </c>
      <c r="D25" s="69" t="s">
        <v>477</v>
      </c>
      <c r="E25" s="239" t="s">
        <v>509</v>
      </c>
      <c r="F25" s="239"/>
      <c r="G25" s="239"/>
      <c r="H25" s="239"/>
      <c r="I25" s="239"/>
      <c r="J25" s="239"/>
    </row>
    <row r="26" spans="2:21" x14ac:dyDescent="0.35">
      <c r="B26" s="184" t="s">
        <v>555</v>
      </c>
      <c r="C26" s="5">
        <v>5.6</v>
      </c>
      <c r="D26" s="5" t="s">
        <v>73</v>
      </c>
      <c r="E26" s="274" t="s">
        <v>556</v>
      </c>
      <c r="F26" s="223"/>
      <c r="G26" s="223"/>
      <c r="H26" s="223"/>
      <c r="I26" s="223"/>
      <c r="J26" s="224"/>
      <c r="K26" s="14" t="s">
        <v>557</v>
      </c>
      <c r="M26" s="273" t="s">
        <v>630</v>
      </c>
      <c r="N26" s="273"/>
      <c r="O26" s="273"/>
      <c r="P26" s="273"/>
      <c r="Q26" s="273"/>
      <c r="R26" s="273"/>
      <c r="S26" s="273"/>
    </row>
    <row r="27" spans="2:21" x14ac:dyDescent="0.35">
      <c r="B27" s="184" t="s">
        <v>558</v>
      </c>
      <c r="C27" s="5">
        <v>19.600000000000001</v>
      </c>
      <c r="D27" s="5" t="s">
        <v>73</v>
      </c>
      <c r="E27" s="274" t="s">
        <v>556</v>
      </c>
      <c r="F27" s="223"/>
      <c r="G27" s="223"/>
      <c r="H27" s="223"/>
      <c r="I27" s="223"/>
      <c r="J27" s="224"/>
      <c r="K27" s="14" t="s">
        <v>559</v>
      </c>
    </row>
    <row r="28" spans="2:21" x14ac:dyDescent="0.35">
      <c r="B28" s="184" t="s">
        <v>560</v>
      </c>
      <c r="C28" s="5">
        <v>4.1000000000000002E-2</v>
      </c>
      <c r="D28" s="5" t="s">
        <v>73</v>
      </c>
      <c r="E28" s="274" t="s">
        <v>556</v>
      </c>
      <c r="F28" s="223"/>
      <c r="G28" s="223"/>
      <c r="H28" s="223"/>
      <c r="I28" s="223"/>
      <c r="J28" s="224"/>
      <c r="M28" s="69" t="s">
        <v>611</v>
      </c>
      <c r="N28" s="69" t="s">
        <v>516</v>
      </c>
      <c r="O28" s="69" t="s">
        <v>477</v>
      </c>
      <c r="P28" s="239" t="s">
        <v>509</v>
      </c>
      <c r="Q28" s="239"/>
      <c r="R28" s="239"/>
      <c r="S28" s="239"/>
      <c r="T28" s="239"/>
      <c r="U28" s="239"/>
    </row>
    <row r="29" spans="2:21" ht="16.5" x14ac:dyDescent="0.35">
      <c r="M29" s="184" t="s">
        <v>443</v>
      </c>
      <c r="N29" s="8">
        <f>'Escenario 3'!$K$28</f>
        <v>95.603578767123267</v>
      </c>
      <c r="O29" s="5" t="s">
        <v>86</v>
      </c>
      <c r="P29" s="276" t="s">
        <v>625</v>
      </c>
      <c r="Q29" s="277"/>
      <c r="R29" s="277"/>
      <c r="S29" s="277"/>
      <c r="T29" s="277"/>
      <c r="U29" s="278"/>
    </row>
    <row r="30" spans="2:21" x14ac:dyDescent="0.35">
      <c r="B30" s="273" t="s">
        <v>646</v>
      </c>
      <c r="C30" s="273"/>
      <c r="D30" s="273"/>
      <c r="E30" s="273"/>
      <c r="F30" s="273"/>
      <c r="G30" s="273"/>
      <c r="H30" s="273"/>
      <c r="M30" s="271" t="s">
        <v>626</v>
      </c>
      <c r="N30" s="28">
        <v>10</v>
      </c>
      <c r="O30" s="28" t="s">
        <v>184</v>
      </c>
      <c r="P30" s="279" t="s">
        <v>614</v>
      </c>
      <c r="Q30" s="279"/>
      <c r="R30" s="279"/>
      <c r="S30" s="279"/>
      <c r="T30" s="279"/>
      <c r="U30" s="279"/>
    </row>
    <row r="31" spans="2:21" x14ac:dyDescent="0.35">
      <c r="M31" s="271"/>
      <c r="N31" s="48">
        <f>(N29*1000)/(N30*1000)</f>
        <v>9.5603578767123274</v>
      </c>
      <c r="O31" s="28" t="s">
        <v>627</v>
      </c>
      <c r="P31" s="279"/>
      <c r="Q31" s="279"/>
      <c r="R31" s="279"/>
      <c r="S31" s="279"/>
      <c r="T31" s="279"/>
      <c r="U31" s="279"/>
    </row>
    <row r="32" spans="2:21" x14ac:dyDescent="0.35">
      <c r="B32" s="69" t="s">
        <v>515</v>
      </c>
      <c r="C32" s="69" t="s">
        <v>516</v>
      </c>
      <c r="D32" s="69" t="s">
        <v>477</v>
      </c>
      <c r="E32" s="239" t="s">
        <v>509</v>
      </c>
      <c r="F32" s="239"/>
      <c r="G32" s="239"/>
      <c r="H32" s="239"/>
      <c r="I32" s="239"/>
      <c r="J32" s="239"/>
      <c r="M32" s="184" t="s">
        <v>432</v>
      </c>
      <c r="N32" s="8">
        <f>(N30*N31)*N6</f>
        <v>23327.273219178081</v>
      </c>
      <c r="O32" s="5" t="s">
        <v>628</v>
      </c>
      <c r="P32" s="276" t="s">
        <v>625</v>
      </c>
      <c r="Q32" s="277"/>
      <c r="R32" s="277"/>
      <c r="S32" s="277"/>
      <c r="T32" s="277"/>
      <c r="U32" s="278"/>
    </row>
    <row r="33" spans="2:21" ht="16.5" x14ac:dyDescent="0.35">
      <c r="B33" s="181" t="s">
        <v>517</v>
      </c>
      <c r="C33" s="48">
        <f>'Escenario 3'!$E$235</f>
        <v>1.4227753443683409</v>
      </c>
      <c r="D33" s="28" t="s">
        <v>147</v>
      </c>
      <c r="E33" s="268" t="s">
        <v>518</v>
      </c>
      <c r="F33" s="269"/>
      <c r="G33" s="269"/>
      <c r="H33" s="269"/>
      <c r="I33" s="269"/>
      <c r="J33" s="270"/>
    </row>
    <row r="34" spans="2:21" x14ac:dyDescent="0.35">
      <c r="B34" s="181" t="s">
        <v>597</v>
      </c>
      <c r="C34" s="48">
        <f>'Escenario 3'!$F$235</f>
        <v>2.286</v>
      </c>
      <c r="D34" s="28" t="s">
        <v>154</v>
      </c>
      <c r="E34" s="268" t="s">
        <v>518</v>
      </c>
      <c r="F34" s="269"/>
      <c r="G34" s="269"/>
      <c r="H34" s="269"/>
      <c r="I34" s="269"/>
      <c r="J34" s="270"/>
      <c r="M34" s="273" t="s">
        <v>635</v>
      </c>
      <c r="N34" s="273"/>
      <c r="O34" s="273"/>
      <c r="P34" s="273"/>
      <c r="Q34" s="273"/>
      <c r="R34" s="273"/>
      <c r="S34" s="273"/>
    </row>
    <row r="35" spans="2:21" x14ac:dyDescent="0.35">
      <c r="B35" s="181" t="s">
        <v>598</v>
      </c>
      <c r="C35" s="48">
        <f>'Escenario 3'!$G$235</f>
        <v>0.30480000000000002</v>
      </c>
      <c r="D35" s="28" t="s">
        <v>154</v>
      </c>
      <c r="E35" s="268" t="s">
        <v>518</v>
      </c>
      <c r="F35" s="269"/>
      <c r="G35" s="269"/>
      <c r="H35" s="269"/>
      <c r="I35" s="269"/>
      <c r="J35" s="270"/>
    </row>
    <row r="36" spans="2:21" ht="16.5" x14ac:dyDescent="0.35">
      <c r="B36" s="181" t="s">
        <v>93</v>
      </c>
      <c r="C36" s="48">
        <f>'Escenario 3'!I235</f>
        <v>2.1889763097011903</v>
      </c>
      <c r="D36" s="28" t="s">
        <v>94</v>
      </c>
      <c r="E36" s="268" t="s">
        <v>33</v>
      </c>
      <c r="F36" s="269"/>
      <c r="G36" s="269"/>
      <c r="H36" s="269"/>
      <c r="I36" s="269"/>
      <c r="J36" s="270"/>
      <c r="N36" s="69" t="s">
        <v>365</v>
      </c>
      <c r="O36" s="69" t="s">
        <v>368</v>
      </c>
      <c r="P36" s="69" t="s">
        <v>636</v>
      </c>
      <c r="Q36" s="69" t="s">
        <v>637</v>
      </c>
      <c r="S36" s="69" t="s">
        <v>638</v>
      </c>
    </row>
    <row r="37" spans="2:21" x14ac:dyDescent="0.35">
      <c r="B37" s="181" t="s">
        <v>522</v>
      </c>
      <c r="C37" s="201">
        <v>10</v>
      </c>
      <c r="D37" s="28" t="s">
        <v>523</v>
      </c>
      <c r="E37" s="268" t="s">
        <v>524</v>
      </c>
      <c r="F37" s="269"/>
      <c r="G37" s="269"/>
      <c r="H37" s="269"/>
      <c r="I37" s="269"/>
      <c r="J37" s="270"/>
      <c r="M37" s="184" t="s">
        <v>639</v>
      </c>
      <c r="N37" s="5">
        <f>'Escenario 3'!$O$178</f>
        <v>12</v>
      </c>
      <c r="O37" s="5">
        <f>'Escenario 3'!$O$179</f>
        <v>24</v>
      </c>
      <c r="P37" s="5">
        <f>'Escenario 3'!$O$180</f>
        <v>60</v>
      </c>
      <c r="Q37" s="13">
        <f>P37/P38</f>
        <v>1.8697143287383089E-2</v>
      </c>
      <c r="R37" s="205">
        <f>Q37*1000</f>
        <v>18.697143287383089</v>
      </c>
      <c r="S37" s="8">
        <f>S38*Q37</f>
        <v>360.08901625723286</v>
      </c>
    </row>
    <row r="38" spans="2:21" ht="16.5" x14ac:dyDescent="0.35">
      <c r="B38" s="181" t="s">
        <v>599</v>
      </c>
      <c r="C38" s="28">
        <v>50</v>
      </c>
      <c r="D38" s="28" t="s">
        <v>531</v>
      </c>
      <c r="E38" s="268" t="s">
        <v>600</v>
      </c>
      <c r="F38" s="269"/>
      <c r="G38" s="269"/>
      <c r="H38" s="269"/>
      <c r="I38" s="269"/>
      <c r="J38" s="270"/>
      <c r="M38" s="184" t="s">
        <v>440</v>
      </c>
      <c r="N38" s="8">
        <f>'Escenario 3'!$N$178</f>
        <v>0.22417652383889158</v>
      </c>
      <c r="O38" s="8">
        <f>'Escenario 3'!$N$179</f>
        <v>0.44873145207233284</v>
      </c>
      <c r="P38" s="8">
        <f>'Escenario 3'!$N$180</f>
        <v>3209.0463809243124</v>
      </c>
      <c r="Q38" s="13">
        <f>P38/P38</f>
        <v>1</v>
      </c>
      <c r="S38" s="8">
        <f>'Escenario 3'!$R$28*1000</f>
        <v>19259.039240514481</v>
      </c>
    </row>
    <row r="40" spans="2:21" x14ac:dyDescent="0.35">
      <c r="B40" s="69" t="s">
        <v>533</v>
      </c>
      <c r="C40" s="69" t="s">
        <v>516</v>
      </c>
      <c r="D40" s="69" t="s">
        <v>477</v>
      </c>
      <c r="E40" s="239" t="s">
        <v>509</v>
      </c>
      <c r="F40" s="239"/>
      <c r="G40" s="239"/>
      <c r="H40" s="239"/>
      <c r="I40" s="239"/>
      <c r="J40" s="239"/>
      <c r="M40" s="275" t="s">
        <v>640</v>
      </c>
      <c r="N40" s="21">
        <f>((N37/100)*P37)/(P38)</f>
        <v>2.2436571944859703E-3</v>
      </c>
      <c r="O40" s="5" t="s">
        <v>641</v>
      </c>
      <c r="Q40" s="275" t="s">
        <v>642</v>
      </c>
      <c r="R40" s="21">
        <f>((O37/100)*P37)/(P38)</f>
        <v>4.4873143889719407E-3</v>
      </c>
      <c r="S40" s="5" t="s">
        <v>641</v>
      </c>
      <c r="U40">
        <v>2.78</v>
      </c>
    </row>
    <row r="41" spans="2:21" ht="16.5" x14ac:dyDescent="0.35">
      <c r="B41" s="271" t="s">
        <v>601</v>
      </c>
      <c r="C41" s="48">
        <f>C36*C38</f>
        <v>109.44881548505951</v>
      </c>
      <c r="D41" s="28" t="s">
        <v>535</v>
      </c>
      <c r="E41" s="272" t="s">
        <v>33</v>
      </c>
      <c r="F41" s="272"/>
      <c r="G41" s="272"/>
      <c r="H41" s="272"/>
      <c r="I41" s="272"/>
      <c r="J41" s="272"/>
      <c r="M41" s="275"/>
      <c r="N41" s="21">
        <f>(N40*1000)*U40</f>
        <v>6.2373670006709965</v>
      </c>
      <c r="O41" s="5" t="s">
        <v>511</v>
      </c>
      <c r="Q41" s="275"/>
      <c r="R41" s="21">
        <f>(R40*1000)*U40</f>
        <v>12.474734001341993</v>
      </c>
      <c r="S41" s="5" t="s">
        <v>511</v>
      </c>
      <c r="U41" s="206">
        <f>N41+R41</f>
        <v>18.712101002012989</v>
      </c>
    </row>
    <row r="42" spans="2:21" x14ac:dyDescent="0.35">
      <c r="B42" s="271"/>
      <c r="C42" s="171">
        <f>C41/C37</f>
        <v>10.944881548505951</v>
      </c>
      <c r="D42" s="28" t="s">
        <v>536</v>
      </c>
      <c r="E42" s="272" t="s">
        <v>537</v>
      </c>
      <c r="F42" s="272"/>
      <c r="G42" s="272"/>
      <c r="H42" s="272"/>
      <c r="I42" s="272"/>
      <c r="J42" s="272"/>
    </row>
    <row r="44" spans="2:21" x14ac:dyDescent="0.35">
      <c r="B44" s="273" t="s">
        <v>631</v>
      </c>
      <c r="C44" s="273"/>
      <c r="D44" s="273"/>
      <c r="E44" s="273"/>
      <c r="F44" s="273"/>
      <c r="G44" s="273"/>
      <c r="H44" s="273"/>
      <c r="M44" s="273" t="s">
        <v>632</v>
      </c>
      <c r="N44" s="273"/>
      <c r="O44" s="273"/>
      <c r="P44" s="273"/>
      <c r="Q44" s="273"/>
      <c r="R44" s="273"/>
      <c r="S44" s="273"/>
    </row>
    <row r="46" spans="2:21" x14ac:dyDescent="0.35">
      <c r="B46" s="69" t="s">
        <v>507</v>
      </c>
      <c r="C46" s="69" t="s">
        <v>516</v>
      </c>
      <c r="D46" s="69" t="s">
        <v>477</v>
      </c>
      <c r="E46" s="239" t="s">
        <v>509</v>
      </c>
      <c r="F46" s="239"/>
      <c r="G46" s="239"/>
      <c r="H46" s="239"/>
      <c r="I46" s="239"/>
      <c r="J46" s="239"/>
      <c r="M46" s="69" t="s">
        <v>507</v>
      </c>
      <c r="N46" s="69" t="s">
        <v>516</v>
      </c>
      <c r="O46" s="69" t="s">
        <v>477</v>
      </c>
      <c r="P46" s="239" t="s">
        <v>509</v>
      </c>
      <c r="Q46" s="239"/>
      <c r="R46" s="239"/>
      <c r="S46" s="239"/>
      <c r="T46" s="239"/>
      <c r="U46" s="239"/>
    </row>
    <row r="47" spans="2:21" ht="16.5" x14ac:dyDescent="0.35">
      <c r="B47" s="203" t="s">
        <v>576</v>
      </c>
      <c r="C47" s="5">
        <v>0.05</v>
      </c>
      <c r="D47" s="5" t="s">
        <v>633</v>
      </c>
      <c r="E47" s="274" t="s">
        <v>634</v>
      </c>
      <c r="F47" s="223"/>
      <c r="G47" s="223"/>
      <c r="H47" s="223"/>
      <c r="I47" s="223"/>
      <c r="J47" s="224"/>
      <c r="M47" s="203" t="s">
        <v>581</v>
      </c>
      <c r="N47" s="5">
        <v>0.129</v>
      </c>
      <c r="O47" s="5" t="s">
        <v>633</v>
      </c>
      <c r="P47" s="222" t="s">
        <v>600</v>
      </c>
      <c r="Q47" s="223"/>
      <c r="R47" s="223"/>
      <c r="S47" s="223"/>
      <c r="T47" s="223"/>
      <c r="U47" s="224"/>
    </row>
    <row r="48" spans="2:21" ht="16.5" x14ac:dyDescent="0.45">
      <c r="B48" s="204" t="s">
        <v>577</v>
      </c>
      <c r="C48" s="5">
        <v>0.04</v>
      </c>
      <c r="D48" s="5" t="s">
        <v>633</v>
      </c>
      <c r="E48" s="274" t="s">
        <v>634</v>
      </c>
      <c r="F48" s="223"/>
      <c r="G48" s="223"/>
      <c r="H48" s="223"/>
      <c r="I48" s="223"/>
      <c r="J48" s="224"/>
      <c r="M48" s="204" t="s">
        <v>80</v>
      </c>
      <c r="N48" s="5">
        <v>8.9999999999999998E-4</v>
      </c>
      <c r="O48" s="5" t="s">
        <v>633</v>
      </c>
      <c r="P48" s="222" t="s">
        <v>600</v>
      </c>
      <c r="Q48" s="223"/>
      <c r="R48" s="223"/>
      <c r="S48" s="223"/>
      <c r="T48" s="223"/>
      <c r="U48" s="224"/>
    </row>
    <row r="50" spans="2:18" x14ac:dyDescent="0.35">
      <c r="B50" s="273" t="s">
        <v>648</v>
      </c>
      <c r="C50" s="273"/>
      <c r="D50" s="273"/>
      <c r="E50" s="273"/>
      <c r="F50" s="273"/>
      <c r="G50" s="273"/>
      <c r="H50" s="273"/>
    </row>
    <row r="52" spans="2:18" x14ac:dyDescent="0.35">
      <c r="B52" s="69" t="s">
        <v>515</v>
      </c>
      <c r="C52" s="69" t="s">
        <v>516</v>
      </c>
      <c r="D52" s="69" t="s">
        <v>477</v>
      </c>
      <c r="E52" s="239" t="s">
        <v>509</v>
      </c>
      <c r="F52" s="239"/>
      <c r="G52" s="239"/>
      <c r="H52" s="239"/>
      <c r="I52" s="239"/>
      <c r="J52" s="239"/>
    </row>
    <row r="53" spans="2:18" ht="16.5" x14ac:dyDescent="0.35">
      <c r="B53" s="181" t="s">
        <v>517</v>
      </c>
      <c r="C53" s="48">
        <f>'Escenario 3'!E239</f>
        <v>3.2098398734190803</v>
      </c>
      <c r="D53" s="28" t="s">
        <v>147</v>
      </c>
      <c r="E53" s="268" t="s">
        <v>518</v>
      </c>
      <c r="F53" s="269"/>
      <c r="G53" s="269"/>
      <c r="H53" s="269"/>
      <c r="I53" s="269"/>
      <c r="J53" s="270"/>
    </row>
    <row r="54" spans="2:18" x14ac:dyDescent="0.35">
      <c r="B54" s="181" t="s">
        <v>597</v>
      </c>
      <c r="C54" s="48">
        <f>'Escenario 3'!F239</f>
        <v>2.44</v>
      </c>
      <c r="D54" s="28" t="s">
        <v>154</v>
      </c>
      <c r="E54" s="268" t="s">
        <v>518</v>
      </c>
      <c r="F54" s="269"/>
      <c r="G54" s="269"/>
      <c r="H54" s="269"/>
      <c r="I54" s="269"/>
      <c r="J54" s="270"/>
    </row>
    <row r="55" spans="2:18" x14ac:dyDescent="0.35">
      <c r="B55" s="181" t="s">
        <v>598</v>
      </c>
      <c r="C55" s="48">
        <f>'Escenario 3'!G239</f>
        <v>0.4572</v>
      </c>
      <c r="D55" s="28" t="s">
        <v>154</v>
      </c>
      <c r="E55" s="268" t="s">
        <v>518</v>
      </c>
      <c r="F55" s="269"/>
      <c r="G55" s="269"/>
      <c r="H55" s="269"/>
      <c r="I55" s="269"/>
      <c r="J55" s="270"/>
    </row>
    <row r="56" spans="2:18" ht="16.5" x14ac:dyDescent="0.35">
      <c r="B56" s="181" t="s">
        <v>93</v>
      </c>
      <c r="C56" s="48">
        <f>'Escenario 3'!I239</f>
        <v>3.504660233379858</v>
      </c>
      <c r="D56" s="28" t="s">
        <v>94</v>
      </c>
      <c r="E56" s="268" t="s">
        <v>33</v>
      </c>
      <c r="F56" s="269"/>
      <c r="G56" s="269"/>
      <c r="H56" s="269"/>
      <c r="I56" s="269"/>
      <c r="J56" s="270"/>
    </row>
    <row r="57" spans="2:18" x14ac:dyDescent="0.35">
      <c r="B57" s="181" t="s">
        <v>522</v>
      </c>
      <c r="C57" s="201">
        <v>10</v>
      </c>
      <c r="D57" s="28" t="s">
        <v>523</v>
      </c>
      <c r="E57" s="268" t="s">
        <v>524</v>
      </c>
      <c r="F57" s="269"/>
      <c r="G57" s="269"/>
      <c r="H57" s="269"/>
      <c r="I57" s="269"/>
      <c r="J57" s="270"/>
    </row>
    <row r="58" spans="2:18" ht="16.5" x14ac:dyDescent="0.35">
      <c r="B58" s="181" t="s">
        <v>599</v>
      </c>
      <c r="C58" s="28">
        <v>50</v>
      </c>
      <c r="D58" s="28" t="s">
        <v>531</v>
      </c>
      <c r="E58" s="268" t="s">
        <v>600</v>
      </c>
      <c r="F58" s="269"/>
      <c r="G58" s="269"/>
      <c r="H58" s="269"/>
      <c r="I58" s="269"/>
      <c r="J58" s="270"/>
    </row>
    <row r="60" spans="2:18" x14ac:dyDescent="0.35">
      <c r="B60" s="69" t="s">
        <v>533</v>
      </c>
      <c r="C60" s="69" t="s">
        <v>516</v>
      </c>
      <c r="D60" s="69" t="s">
        <v>477</v>
      </c>
      <c r="E60" s="239" t="s">
        <v>509</v>
      </c>
      <c r="F60" s="239"/>
      <c r="G60" s="239"/>
      <c r="H60" s="239"/>
      <c r="I60" s="239"/>
      <c r="J60" s="239"/>
    </row>
    <row r="61" spans="2:18" x14ac:dyDescent="0.35">
      <c r="B61" s="271" t="s">
        <v>601</v>
      </c>
      <c r="C61" s="48">
        <f>C56*C58</f>
        <v>175.2330116689929</v>
      </c>
      <c r="D61" s="28" t="s">
        <v>535</v>
      </c>
      <c r="E61" s="272" t="s">
        <v>33</v>
      </c>
      <c r="F61" s="272"/>
      <c r="G61" s="272"/>
      <c r="H61" s="272"/>
      <c r="I61" s="272"/>
      <c r="J61" s="272"/>
    </row>
    <row r="62" spans="2:18" x14ac:dyDescent="0.35">
      <c r="B62" s="271"/>
      <c r="C62" s="171">
        <f>C61/C57</f>
        <v>17.523301166899291</v>
      </c>
      <c r="D62" s="28" t="s">
        <v>536</v>
      </c>
      <c r="E62" s="272" t="s">
        <v>537</v>
      </c>
      <c r="F62" s="272"/>
      <c r="G62" s="272"/>
      <c r="H62" s="272"/>
      <c r="I62" s="272"/>
      <c r="J62" s="272"/>
    </row>
    <row r="64" spans="2:18" x14ac:dyDescent="0.35">
      <c r="B64" s="273" t="s">
        <v>649</v>
      </c>
      <c r="C64" s="273"/>
      <c r="D64" s="273"/>
      <c r="E64" s="273"/>
      <c r="F64" s="273"/>
      <c r="G64" s="273"/>
      <c r="H64" s="273"/>
      <c r="L64" s="273" t="s">
        <v>650</v>
      </c>
      <c r="M64" s="273"/>
      <c r="N64" s="273"/>
      <c r="O64" s="273"/>
      <c r="P64" s="273"/>
      <c r="Q64" s="273"/>
      <c r="R64" s="273"/>
    </row>
    <row r="66" spans="2:20" x14ac:dyDescent="0.35">
      <c r="B66" s="69" t="s">
        <v>515</v>
      </c>
      <c r="C66" s="69" t="s">
        <v>516</v>
      </c>
      <c r="D66" s="69" t="s">
        <v>477</v>
      </c>
      <c r="E66" s="239" t="s">
        <v>509</v>
      </c>
      <c r="F66" s="239"/>
      <c r="G66" s="239"/>
      <c r="H66" s="239"/>
      <c r="I66" s="239"/>
      <c r="J66" s="239"/>
      <c r="L66" s="69" t="s">
        <v>515</v>
      </c>
      <c r="M66" s="69" t="s">
        <v>516</v>
      </c>
      <c r="N66" s="69" t="s">
        <v>477</v>
      </c>
      <c r="O66" s="239" t="s">
        <v>509</v>
      </c>
      <c r="P66" s="239"/>
      <c r="Q66" s="239"/>
      <c r="R66" s="239"/>
      <c r="S66" s="239"/>
      <c r="T66" s="239"/>
    </row>
    <row r="67" spans="2:20" ht="16.5" x14ac:dyDescent="0.35">
      <c r="B67" s="181" t="s">
        <v>517</v>
      </c>
      <c r="C67" s="48">
        <f>'Escenario 3'!E247</f>
        <v>2.163918714258886</v>
      </c>
      <c r="D67" s="28" t="s">
        <v>147</v>
      </c>
      <c r="E67" s="268" t="s">
        <v>518</v>
      </c>
      <c r="F67" s="269"/>
      <c r="G67" s="269"/>
      <c r="H67" s="269"/>
      <c r="I67" s="269"/>
      <c r="J67" s="270"/>
      <c r="L67" s="181" t="s">
        <v>517</v>
      </c>
      <c r="M67" s="48">
        <f>'Escenario 3'!E248</f>
        <v>19.259039240514483</v>
      </c>
      <c r="N67" s="28" t="s">
        <v>147</v>
      </c>
      <c r="O67" s="268" t="s">
        <v>518</v>
      </c>
      <c r="P67" s="269"/>
      <c r="Q67" s="269"/>
      <c r="R67" s="269"/>
      <c r="S67" s="269"/>
      <c r="T67" s="270"/>
    </row>
    <row r="68" spans="2:20" x14ac:dyDescent="0.35">
      <c r="B68" s="181" t="s">
        <v>597</v>
      </c>
      <c r="C68" s="48">
        <f>'Escenario 3'!F247</f>
        <v>1.8360000000000001</v>
      </c>
      <c r="D68" s="28" t="s">
        <v>154</v>
      </c>
      <c r="E68" s="268" t="s">
        <v>518</v>
      </c>
      <c r="F68" s="269"/>
      <c r="G68" s="269"/>
      <c r="H68" s="269"/>
      <c r="I68" s="269"/>
      <c r="J68" s="270"/>
      <c r="L68" s="181" t="s">
        <v>597</v>
      </c>
      <c r="M68" s="48">
        <f>'Escenario 3'!F248</f>
        <v>3.806</v>
      </c>
      <c r="N68" s="28" t="s">
        <v>154</v>
      </c>
      <c r="O68" s="268" t="s">
        <v>518</v>
      </c>
      <c r="P68" s="269"/>
      <c r="Q68" s="269"/>
      <c r="R68" s="269"/>
      <c r="S68" s="269"/>
      <c r="T68" s="270"/>
    </row>
    <row r="69" spans="2:20" x14ac:dyDescent="0.35">
      <c r="B69" s="181" t="s">
        <v>598</v>
      </c>
      <c r="C69" s="48">
        <f>'Escenario 3'!G247</f>
        <v>1.224</v>
      </c>
      <c r="D69" s="28" t="s">
        <v>154</v>
      </c>
      <c r="E69" s="268" t="s">
        <v>518</v>
      </c>
      <c r="F69" s="269"/>
      <c r="G69" s="269"/>
      <c r="H69" s="269"/>
      <c r="I69" s="269"/>
      <c r="J69" s="270"/>
      <c r="L69" s="181" t="s">
        <v>598</v>
      </c>
      <c r="M69" s="48">
        <f>'Escenario 3'!G248</f>
        <v>2.5369999999999999</v>
      </c>
      <c r="N69" s="28" t="s">
        <v>154</v>
      </c>
      <c r="O69" s="268" t="s">
        <v>518</v>
      </c>
      <c r="P69" s="269"/>
      <c r="Q69" s="269"/>
      <c r="R69" s="269"/>
      <c r="S69" s="269"/>
      <c r="T69" s="270"/>
    </row>
    <row r="70" spans="2:20" ht="16.5" x14ac:dyDescent="0.35">
      <c r="B70" s="181" t="s">
        <v>93</v>
      </c>
      <c r="C70" s="48">
        <f>'Escenario 3'!I247</f>
        <v>7.0599880730768128</v>
      </c>
      <c r="D70" s="28" t="s">
        <v>94</v>
      </c>
      <c r="E70" s="268" t="s">
        <v>33</v>
      </c>
      <c r="F70" s="269"/>
      <c r="G70" s="269"/>
      <c r="H70" s="269"/>
      <c r="I70" s="269"/>
      <c r="J70" s="270"/>
      <c r="L70" s="181" t="s">
        <v>93</v>
      </c>
      <c r="M70" s="48">
        <f>'Escenario 3'!I248</f>
        <v>30.334659459570702</v>
      </c>
      <c r="N70" s="28" t="s">
        <v>94</v>
      </c>
      <c r="O70" s="268" t="s">
        <v>33</v>
      </c>
      <c r="P70" s="269"/>
      <c r="Q70" s="269"/>
      <c r="R70" s="269"/>
      <c r="S70" s="269"/>
      <c r="T70" s="270"/>
    </row>
    <row r="71" spans="2:20" x14ac:dyDescent="0.35">
      <c r="B71" s="181" t="s">
        <v>522</v>
      </c>
      <c r="C71" s="201">
        <v>10</v>
      </c>
      <c r="D71" s="28" t="s">
        <v>523</v>
      </c>
      <c r="E71" s="268" t="s">
        <v>524</v>
      </c>
      <c r="F71" s="269"/>
      <c r="G71" s="269"/>
      <c r="H71" s="269"/>
      <c r="I71" s="269"/>
      <c r="J71" s="270"/>
      <c r="L71" s="181" t="s">
        <v>522</v>
      </c>
      <c r="M71" s="201">
        <v>10</v>
      </c>
      <c r="N71" s="28" t="s">
        <v>523</v>
      </c>
      <c r="O71" s="268" t="s">
        <v>524</v>
      </c>
      <c r="P71" s="269"/>
      <c r="Q71" s="269"/>
      <c r="R71" s="269"/>
      <c r="S71" s="269"/>
      <c r="T71" s="270"/>
    </row>
    <row r="72" spans="2:20" ht="16.5" x14ac:dyDescent="0.35">
      <c r="B72" s="181" t="s">
        <v>599</v>
      </c>
      <c r="C72" s="28">
        <v>50</v>
      </c>
      <c r="D72" s="28" t="s">
        <v>531</v>
      </c>
      <c r="E72" s="268" t="s">
        <v>600</v>
      </c>
      <c r="F72" s="269"/>
      <c r="G72" s="269"/>
      <c r="H72" s="269"/>
      <c r="I72" s="269"/>
      <c r="J72" s="270"/>
      <c r="L72" s="181" t="s">
        <v>599</v>
      </c>
      <c r="M72" s="28">
        <v>50</v>
      </c>
      <c r="N72" s="28" t="s">
        <v>531</v>
      </c>
      <c r="O72" s="268" t="s">
        <v>600</v>
      </c>
      <c r="P72" s="269"/>
      <c r="Q72" s="269"/>
      <c r="R72" s="269"/>
      <c r="S72" s="269"/>
      <c r="T72" s="270"/>
    </row>
    <row r="74" spans="2:20" x14ac:dyDescent="0.35">
      <c r="B74" s="69" t="s">
        <v>533</v>
      </c>
      <c r="C74" s="69" t="s">
        <v>516</v>
      </c>
      <c r="D74" s="69" t="s">
        <v>477</v>
      </c>
      <c r="E74" s="239" t="s">
        <v>509</v>
      </c>
      <c r="F74" s="239"/>
      <c r="G74" s="239"/>
      <c r="H74" s="239"/>
      <c r="I74" s="239"/>
      <c r="J74" s="239"/>
      <c r="L74" s="69" t="s">
        <v>533</v>
      </c>
      <c r="M74" s="69" t="s">
        <v>516</v>
      </c>
      <c r="N74" s="69" t="s">
        <v>477</v>
      </c>
      <c r="O74" s="239" t="s">
        <v>509</v>
      </c>
      <c r="P74" s="239"/>
      <c r="Q74" s="239"/>
      <c r="R74" s="239"/>
      <c r="S74" s="239"/>
      <c r="T74" s="239"/>
    </row>
    <row r="75" spans="2:20" x14ac:dyDescent="0.35">
      <c r="B75" s="271" t="s">
        <v>601</v>
      </c>
      <c r="C75" s="48">
        <f>C70*C72</f>
        <v>352.99940365384066</v>
      </c>
      <c r="D75" s="28" t="s">
        <v>535</v>
      </c>
      <c r="E75" s="272" t="s">
        <v>33</v>
      </c>
      <c r="F75" s="272"/>
      <c r="G75" s="272"/>
      <c r="H75" s="272"/>
      <c r="I75" s="272"/>
      <c r="J75" s="272"/>
      <c r="L75" s="271" t="s">
        <v>601</v>
      </c>
      <c r="M75" s="48">
        <f>M70*M72</f>
        <v>1516.7329729785351</v>
      </c>
      <c r="N75" s="28" t="s">
        <v>535</v>
      </c>
      <c r="O75" s="272" t="s">
        <v>33</v>
      </c>
      <c r="P75" s="272"/>
      <c r="Q75" s="272"/>
      <c r="R75" s="272"/>
      <c r="S75" s="272"/>
      <c r="T75" s="272"/>
    </row>
    <row r="76" spans="2:20" x14ac:dyDescent="0.35">
      <c r="B76" s="271"/>
      <c r="C76" s="171">
        <f>C75/C71</f>
        <v>35.299940365384067</v>
      </c>
      <c r="D76" s="28" t="s">
        <v>536</v>
      </c>
      <c r="E76" s="272" t="s">
        <v>537</v>
      </c>
      <c r="F76" s="272"/>
      <c r="G76" s="272"/>
      <c r="H76" s="272"/>
      <c r="I76" s="272"/>
      <c r="J76" s="272"/>
      <c r="L76" s="271"/>
      <c r="M76" s="171">
        <f>M75/M71</f>
        <v>151.67329729785351</v>
      </c>
      <c r="N76" s="28" t="s">
        <v>536</v>
      </c>
      <c r="O76" s="272" t="s">
        <v>537</v>
      </c>
      <c r="P76" s="272"/>
      <c r="Q76" s="272"/>
      <c r="R76" s="272"/>
      <c r="S76" s="272"/>
      <c r="T76" s="272"/>
    </row>
  </sheetData>
  <mergeCells count="108">
    <mergeCell ref="E17:J17"/>
    <mergeCell ref="B18:B19"/>
    <mergeCell ref="E18:J18"/>
    <mergeCell ref="E19:J19"/>
    <mergeCell ref="B20:B21"/>
    <mergeCell ref="E20:J20"/>
    <mergeCell ref="E21:J21"/>
    <mergeCell ref="E15:J15"/>
    <mergeCell ref="B2:H2"/>
    <mergeCell ref="E4:J4"/>
    <mergeCell ref="E5:J5"/>
    <mergeCell ref="E6:J6"/>
    <mergeCell ref="E8:J8"/>
    <mergeCell ref="E9:J9"/>
    <mergeCell ref="E10:J10"/>
    <mergeCell ref="E11:J11"/>
    <mergeCell ref="E12:J12"/>
    <mergeCell ref="E13:J13"/>
    <mergeCell ref="E14:J14"/>
    <mergeCell ref="B23:H23"/>
    <mergeCell ref="E25:J25"/>
    <mergeCell ref="E26:J26"/>
    <mergeCell ref="E27:J27"/>
    <mergeCell ref="E28:J28"/>
    <mergeCell ref="B30:H30"/>
    <mergeCell ref="E32:J32"/>
    <mergeCell ref="E33:J33"/>
    <mergeCell ref="E34:J34"/>
    <mergeCell ref="M9:M10"/>
    <mergeCell ref="P9:U10"/>
    <mergeCell ref="P12:U12"/>
    <mergeCell ref="P13:U13"/>
    <mergeCell ref="M14:M15"/>
    <mergeCell ref="P14:U15"/>
    <mergeCell ref="M2:S2"/>
    <mergeCell ref="P4:U4"/>
    <mergeCell ref="P5:U5"/>
    <mergeCell ref="P6:U6"/>
    <mergeCell ref="M7:M8"/>
    <mergeCell ref="P7:U8"/>
    <mergeCell ref="P24:U24"/>
    <mergeCell ref="M26:S26"/>
    <mergeCell ref="P28:U28"/>
    <mergeCell ref="P29:U29"/>
    <mergeCell ref="M30:M31"/>
    <mergeCell ref="P30:U31"/>
    <mergeCell ref="P16:U16"/>
    <mergeCell ref="M18:S18"/>
    <mergeCell ref="P20:U20"/>
    <mergeCell ref="P21:U21"/>
    <mergeCell ref="M22:M23"/>
    <mergeCell ref="P22:U23"/>
    <mergeCell ref="E47:J47"/>
    <mergeCell ref="P47:U47"/>
    <mergeCell ref="E48:J48"/>
    <mergeCell ref="P48:U48"/>
    <mergeCell ref="M34:S34"/>
    <mergeCell ref="M40:M41"/>
    <mergeCell ref="Q40:Q41"/>
    <mergeCell ref="P32:U32"/>
    <mergeCell ref="B44:H44"/>
    <mergeCell ref="M44:S44"/>
    <mergeCell ref="E46:J46"/>
    <mergeCell ref="P46:U46"/>
    <mergeCell ref="E38:J38"/>
    <mergeCell ref="E40:J40"/>
    <mergeCell ref="B41:B42"/>
    <mergeCell ref="E41:J41"/>
    <mergeCell ref="E42:J42"/>
    <mergeCell ref="E37:J37"/>
    <mergeCell ref="E35:J35"/>
    <mergeCell ref="E36:J36"/>
    <mergeCell ref="E56:J56"/>
    <mergeCell ref="E57:J57"/>
    <mergeCell ref="E58:J58"/>
    <mergeCell ref="E60:J60"/>
    <mergeCell ref="B61:B62"/>
    <mergeCell ref="E61:J61"/>
    <mergeCell ref="E62:J62"/>
    <mergeCell ref="B50:H50"/>
    <mergeCell ref="E52:J52"/>
    <mergeCell ref="E53:J53"/>
    <mergeCell ref="E54:J54"/>
    <mergeCell ref="E55:J55"/>
    <mergeCell ref="E70:J70"/>
    <mergeCell ref="E71:J71"/>
    <mergeCell ref="E72:J72"/>
    <mergeCell ref="E74:J74"/>
    <mergeCell ref="B75:B76"/>
    <mergeCell ref="E75:J75"/>
    <mergeCell ref="E76:J76"/>
    <mergeCell ref="B64:H64"/>
    <mergeCell ref="E66:J66"/>
    <mergeCell ref="E67:J67"/>
    <mergeCell ref="E68:J68"/>
    <mergeCell ref="E69:J69"/>
    <mergeCell ref="O70:T70"/>
    <mergeCell ref="O71:T71"/>
    <mergeCell ref="O72:T72"/>
    <mergeCell ref="O74:T74"/>
    <mergeCell ref="L75:L76"/>
    <mergeCell ref="O75:T75"/>
    <mergeCell ref="O76:T76"/>
    <mergeCell ref="L64:R64"/>
    <mergeCell ref="O66:T66"/>
    <mergeCell ref="O67:T67"/>
    <mergeCell ref="O68:T68"/>
    <mergeCell ref="O69:T69"/>
  </mergeCells>
  <hyperlinks>
    <hyperlink ref="E14" r:id="rId1" xr:uid="{84476EB3-F369-4E03-AFFF-E4495C1C35C9}"/>
    <hyperlink ref="E6" r:id="rId2" xr:uid="{C87128FE-6728-4E18-A095-80E17AB077AE}"/>
    <hyperlink ref="E26" r:id="rId3" xr:uid="{5214605D-1116-4AC7-8E7D-885252F8D338}"/>
    <hyperlink ref="E27" r:id="rId4" xr:uid="{33595C53-754F-4590-939F-90EFE87E4020}"/>
    <hyperlink ref="E28" r:id="rId5" xr:uid="{9C232E45-610E-459F-A319-4292D390E094}"/>
    <hyperlink ref="P6" r:id="rId6" xr:uid="{D23C7479-6EE0-460E-8075-04C82B16984F}"/>
    <hyperlink ref="P7" r:id="rId7" location="b21" xr:uid="{74D1C5C1-E8E1-41CC-8315-E4401A732A09}"/>
    <hyperlink ref="P9" r:id="rId8" xr:uid="{6408A9A5-CE19-4620-8C09-8207C29B283D}"/>
    <hyperlink ref="E47" r:id="rId9" xr:uid="{87B243B0-D822-4D29-A93A-CD7591AE9483}"/>
    <hyperlink ref="E48" r:id="rId10" xr:uid="{3BA37A7B-DA2E-4531-B7B6-B0C115EF5E36}"/>
  </hyperlinks>
  <pageMargins left="0.7" right="0.7" top="0.75" bottom="0.75" header="0.3" footer="0.3"/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F430-0075-4FE7-9D79-B7B7D4446272}">
  <dimension ref="A2:S161"/>
  <sheetViews>
    <sheetView topLeftCell="A78" zoomScale="50" zoomScaleNormal="50" workbookViewId="0">
      <selection activeCell="N97" sqref="N97"/>
    </sheetView>
  </sheetViews>
  <sheetFormatPr baseColWidth="10" defaultRowHeight="14.5" x14ac:dyDescent="0.35"/>
  <cols>
    <col min="2" max="2" width="30.81640625" bestFit="1" customWidth="1"/>
    <col min="3" max="3" width="11.81640625" customWidth="1"/>
    <col min="4" max="4" width="20.54296875" customWidth="1"/>
    <col min="5" max="5" width="11.54296875" bestFit="1" customWidth="1"/>
    <col min="6" max="6" width="11.7265625" bestFit="1" customWidth="1"/>
    <col min="8" max="8" width="18.7265625" bestFit="1" customWidth="1"/>
    <col min="10" max="10" width="13.7265625" bestFit="1" customWidth="1"/>
    <col min="11" max="11" width="12.08984375" bestFit="1" customWidth="1"/>
    <col min="12" max="12" width="18.7265625" bestFit="1" customWidth="1"/>
    <col min="14" max="14" width="15.54296875" bestFit="1" customWidth="1"/>
    <col min="18" max="18" width="12.36328125" bestFit="1" customWidth="1"/>
    <col min="19" max="19" width="15.08984375" bestFit="1" customWidth="1"/>
  </cols>
  <sheetData>
    <row r="2" spans="2:19" x14ac:dyDescent="0.35">
      <c r="B2" s="273" t="s">
        <v>430</v>
      </c>
      <c r="C2" s="273"/>
      <c r="D2" s="273"/>
      <c r="E2" s="273"/>
      <c r="F2" s="273"/>
      <c r="G2" s="273"/>
      <c r="H2" s="273"/>
      <c r="J2" s="312" t="s">
        <v>431</v>
      </c>
      <c r="K2" s="313"/>
      <c r="L2" s="314"/>
    </row>
    <row r="4" spans="2:19" x14ac:dyDescent="0.35">
      <c r="B4" s="162" t="s">
        <v>269</v>
      </c>
      <c r="C4" s="162" t="s">
        <v>432</v>
      </c>
      <c r="D4" s="162" t="s">
        <v>433</v>
      </c>
      <c r="E4" s="163"/>
      <c r="F4" s="162" t="s">
        <v>434</v>
      </c>
      <c r="G4" s="162" t="s">
        <v>432</v>
      </c>
      <c r="H4" s="162" t="s">
        <v>433</v>
      </c>
      <c r="I4" s="163"/>
      <c r="J4" s="162" t="s">
        <v>435</v>
      </c>
      <c r="K4" s="162" t="s">
        <v>432</v>
      </c>
      <c r="L4" s="162" t="s">
        <v>433</v>
      </c>
    </row>
    <row r="5" spans="2:19" ht="16.5" x14ac:dyDescent="0.35">
      <c r="B5" s="28" t="s">
        <v>436</v>
      </c>
      <c r="C5" s="48">
        <f>C16</f>
        <v>1.9611214555832739</v>
      </c>
      <c r="D5" s="28" t="s">
        <v>437</v>
      </c>
      <c r="E5" s="163"/>
      <c r="F5" s="28" t="s">
        <v>438</v>
      </c>
      <c r="G5" s="48">
        <f>('Escenario 3'!C170/P)</f>
        <v>0.16665421155838814</v>
      </c>
      <c r="H5" s="28" t="s">
        <v>439</v>
      </c>
      <c r="I5" s="163"/>
      <c r="J5" s="28" t="s">
        <v>440</v>
      </c>
      <c r="K5" s="164">
        <f>'Escenario 3'!R28</f>
        <v>19.259039240514483</v>
      </c>
      <c r="L5" s="28" t="s">
        <v>86</v>
      </c>
    </row>
    <row r="6" spans="2:19" ht="16.5" x14ac:dyDescent="0.35">
      <c r="B6" s="28" t="s">
        <v>284</v>
      </c>
      <c r="C6" s="48">
        <f>D17</f>
        <v>11521.588551551733</v>
      </c>
      <c r="D6" s="28" t="s">
        <v>441</v>
      </c>
      <c r="E6" s="163"/>
      <c r="F6" s="28" t="s">
        <v>442</v>
      </c>
      <c r="G6" s="48">
        <f>'Escenario 3'!C143/P</f>
        <v>2.8060052640061413</v>
      </c>
      <c r="H6" s="28" t="s">
        <v>439</v>
      </c>
      <c r="I6" s="163"/>
      <c r="J6" s="28" t="s">
        <v>470</v>
      </c>
      <c r="K6" s="48">
        <f>'Escenario 3'!T28</f>
        <v>2.163918714258886</v>
      </c>
      <c r="L6" s="28" t="s">
        <v>86</v>
      </c>
    </row>
    <row r="7" spans="2:19" ht="16.5" x14ac:dyDescent="0.35">
      <c r="B7" s="28" t="s">
        <v>227</v>
      </c>
      <c r="C7" s="48">
        <f>('Escenario 3'!C150*'Escenario 3'!I32)/P</f>
        <v>36.771027292186382</v>
      </c>
      <c r="D7" s="28" t="s">
        <v>441</v>
      </c>
      <c r="E7" s="163"/>
      <c r="F7" s="28" t="s">
        <v>444</v>
      </c>
      <c r="G7" s="48">
        <f>'Escenario 3'!C129/P</f>
        <v>32.601158735014437</v>
      </c>
      <c r="H7" s="28" t="s">
        <v>439</v>
      </c>
      <c r="I7" s="163"/>
      <c r="J7" s="28" t="s">
        <v>443</v>
      </c>
      <c r="K7" s="164">
        <f>J16</f>
        <v>4.9640886844451604</v>
      </c>
      <c r="L7" s="28" t="s">
        <v>437</v>
      </c>
    </row>
    <row r="8" spans="2:19" ht="16.5" x14ac:dyDescent="0.35">
      <c r="B8" s="28" t="s">
        <v>289</v>
      </c>
      <c r="C8" s="48">
        <f>'Escenario 3'!O66/P</f>
        <v>0.39823022557437848</v>
      </c>
      <c r="D8" s="28" t="s">
        <v>441</v>
      </c>
      <c r="E8" s="163"/>
      <c r="F8" s="272" t="s">
        <v>242</v>
      </c>
      <c r="G8" s="48">
        <f>('Escenario 3'!C141+'Escenario 3'!C135)/P</f>
        <v>136.18642153344118</v>
      </c>
      <c r="H8" s="28" t="s">
        <v>441</v>
      </c>
      <c r="I8" s="163"/>
    </row>
    <row r="9" spans="2:19" ht="16.5" x14ac:dyDescent="0.35">
      <c r="B9" s="28" t="s">
        <v>292</v>
      </c>
      <c r="C9" s="48">
        <f>'Escenario 3'!O69/P</f>
        <v>4.4244360640536895</v>
      </c>
      <c r="D9" s="28" t="s">
        <v>441</v>
      </c>
      <c r="E9" s="163"/>
      <c r="F9" s="272"/>
      <c r="G9" s="48">
        <f>('Escenario 3'!Y71+'Escenario 3'!Y86)/P</f>
        <v>109392.49212205505</v>
      </c>
      <c r="H9" s="28" t="s">
        <v>445</v>
      </c>
      <c r="I9" s="163"/>
      <c r="J9" s="163"/>
      <c r="K9" s="163"/>
      <c r="L9" s="163"/>
    </row>
    <row r="10" spans="2:19" ht="16.5" x14ac:dyDescent="0.35">
      <c r="B10" s="28" t="s">
        <v>446</v>
      </c>
      <c r="C10" s="48">
        <f>(('Escenario 3'!C149*'Escenario 3'!AC36)*(60/24))/P</f>
        <v>1.4708410916874555</v>
      </c>
      <c r="D10" s="28" t="s">
        <v>437</v>
      </c>
      <c r="E10" s="163"/>
      <c r="F10" s="272"/>
      <c r="G10" s="48">
        <f>('Escenario 3'!Y72+'Escenario 3'!Y87)/P</f>
        <v>83.251516074623325</v>
      </c>
      <c r="H10" s="28" t="s">
        <v>439</v>
      </c>
      <c r="I10" s="163"/>
      <c r="J10" s="163"/>
      <c r="K10" s="163"/>
      <c r="L10" s="163"/>
    </row>
    <row r="12" spans="2:19" ht="16.5" x14ac:dyDescent="0.35">
      <c r="B12" s="292" t="s">
        <v>447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</row>
    <row r="14" spans="2:19" x14ac:dyDescent="0.35">
      <c r="B14" s="163"/>
      <c r="C14" s="24" t="s">
        <v>38</v>
      </c>
      <c r="D14" s="24" t="s">
        <v>39</v>
      </c>
      <c r="E14" s="24" t="s">
        <v>40</v>
      </c>
      <c r="F14" s="24" t="s">
        <v>41</v>
      </c>
      <c r="G14" s="24" t="s">
        <v>42</v>
      </c>
      <c r="H14" s="24" t="s">
        <v>43</v>
      </c>
      <c r="I14" s="24" t="s">
        <v>44</v>
      </c>
      <c r="J14" s="24" t="s">
        <v>45</v>
      </c>
      <c r="K14" s="24" t="s">
        <v>46</v>
      </c>
      <c r="L14" s="24" t="s">
        <v>47</v>
      </c>
      <c r="M14" s="24" t="s">
        <v>48</v>
      </c>
      <c r="N14" s="24" t="s">
        <v>49</v>
      </c>
      <c r="O14" s="24" t="s">
        <v>2</v>
      </c>
      <c r="P14" s="24" t="s">
        <v>50</v>
      </c>
      <c r="Q14" s="24" t="s">
        <v>51</v>
      </c>
      <c r="R14" s="24" t="s">
        <v>52</v>
      </c>
      <c r="S14" s="24" t="s">
        <v>53</v>
      </c>
    </row>
    <row r="15" spans="2:19" x14ac:dyDescent="0.35">
      <c r="B15" s="163"/>
      <c r="C15" s="25" t="s">
        <v>448</v>
      </c>
      <c r="D15" s="25" t="s">
        <v>468</v>
      </c>
      <c r="E15" s="25" t="s">
        <v>449</v>
      </c>
      <c r="F15" s="25" t="s">
        <v>450</v>
      </c>
      <c r="G15" s="25" t="s">
        <v>451</v>
      </c>
      <c r="H15" s="25" t="s">
        <v>452</v>
      </c>
      <c r="I15" s="26" t="s">
        <v>453</v>
      </c>
      <c r="J15" s="25" t="s">
        <v>454</v>
      </c>
      <c r="K15" s="25" t="s">
        <v>455</v>
      </c>
      <c r="L15" s="25" t="s">
        <v>456</v>
      </c>
      <c r="M15" s="25" t="s">
        <v>297</v>
      </c>
      <c r="N15" s="26" t="s">
        <v>469</v>
      </c>
      <c r="O15" s="26" t="s">
        <v>470</v>
      </c>
      <c r="P15" s="26" t="s">
        <v>471</v>
      </c>
      <c r="Q15" s="26" t="s">
        <v>440</v>
      </c>
      <c r="R15" s="26" t="s">
        <v>472</v>
      </c>
      <c r="S15" s="26" t="s">
        <v>473</v>
      </c>
    </row>
    <row r="16" spans="2:19" ht="16.5" x14ac:dyDescent="0.35">
      <c r="B16" s="28" t="s">
        <v>457</v>
      </c>
      <c r="C16" s="164">
        <f>'Escenario 3'!D28/P</f>
        <v>1.9611214555832739</v>
      </c>
      <c r="D16" s="164">
        <f>'Escenario 3'!E28/P</f>
        <v>11.521588551551734</v>
      </c>
      <c r="E16" s="164">
        <f>'Escenario 3'!F28/P</f>
        <v>6.1285045486977303</v>
      </c>
      <c r="F16" s="164">
        <f>'Escenario 3'!G28/P</f>
        <v>19.611214555832738</v>
      </c>
      <c r="G16" s="164">
        <f>'Escenario 3'!H28/P</f>
        <v>7.3542054584372769</v>
      </c>
      <c r="H16" s="164">
        <f>'Escenario 3'!I28/P</f>
        <v>12.257009097395461</v>
      </c>
      <c r="I16" s="164">
        <f>'Escenario 3'!J28/P</f>
        <v>11.092593233142891</v>
      </c>
      <c r="J16" s="164">
        <f>'Escenario 3'!K28/P</f>
        <v>4.9640886844451604</v>
      </c>
      <c r="K16" s="164">
        <f>'Escenario 3'!L28/P</f>
        <v>1.1644158642525686</v>
      </c>
      <c r="L16" s="164">
        <f>'Escenario 3'!M28/P</f>
        <v>1.1644158642525686</v>
      </c>
      <c r="M16" s="164">
        <f>'Escenario 3'!N28/P</f>
        <v>0.77627724283504584</v>
      </c>
      <c r="N16" s="164">
        <f>'Escenario 3'!O28/P</f>
        <v>1.7730172226352447</v>
      </c>
      <c r="O16" s="164">
        <f>'Escenario 3'!P28/P</f>
        <v>0.77744165869929849</v>
      </c>
      <c r="P16" s="164">
        <f>'Escenario 3'!Q28/P</f>
        <v>0.99557556393594626</v>
      </c>
      <c r="Q16" s="164">
        <f>'Escenario 3'!R28/P</f>
        <v>1</v>
      </c>
      <c r="R16" s="164">
        <f>'Escenario 3'!S28/P</f>
        <v>0.65487147679747404</v>
      </c>
      <c r="S16" s="164">
        <f>'Escenario 3'!T28/P</f>
        <v>0.11235860144605425</v>
      </c>
    </row>
    <row r="17" spans="2:19" ht="16.5" x14ac:dyDescent="0.35">
      <c r="B17" s="28" t="s">
        <v>458</v>
      </c>
      <c r="C17" s="164">
        <f>'Escenario 3'!D30/P</f>
        <v>1944.6480353563741</v>
      </c>
      <c r="D17" s="164">
        <f>'Escenario 3'!E30/P</f>
        <v>11521.588551551733</v>
      </c>
      <c r="E17" s="164">
        <f>'Escenario 3'!F30/P</f>
        <v>6128.5045486977297</v>
      </c>
      <c r="F17" s="164">
        <f>'Escenario 3'!G30/P</f>
        <v>19594.741135605836</v>
      </c>
      <c r="G17" s="164">
        <f>'Escenario 3'!H30/P</f>
        <v>7354.2054584372763</v>
      </c>
      <c r="H17" s="164">
        <f>'Escenario 3'!I30/P</f>
        <v>12232.495079200669</v>
      </c>
      <c r="I17" s="164">
        <f>'Escenario 3'!J30/P</f>
        <v>11092.59323314289</v>
      </c>
      <c r="J17" s="164">
        <f>'Escenario 3'!K30/P</f>
        <v>4964.0886844451607</v>
      </c>
      <c r="K17" s="164">
        <f>'Escenario 3'!L30/P</f>
        <v>1141.1275469675172</v>
      </c>
      <c r="L17" s="164">
        <f>'Escenario 3'!M30/P</f>
        <v>1141.1275469675172</v>
      </c>
      <c r="M17" s="164">
        <f>'Escenario 3'!N30/P</f>
        <v>0</v>
      </c>
      <c r="N17" s="164">
        <f>'Escenario 3'!O30/P</f>
        <v>1141.1275469675172</v>
      </c>
      <c r="O17" s="164">
        <f>'Escenario 3'!P30/P</f>
        <v>500.36744233273589</v>
      </c>
      <c r="P17" s="164">
        <f>'Escenario 3'!Q30/P</f>
        <v>640.76010463478133</v>
      </c>
      <c r="Q17" s="164">
        <f>'Escenario 3'!R30/P</f>
        <v>640.76010463478133</v>
      </c>
      <c r="R17" s="164">
        <f>'Escenario 3'!S30/P</f>
        <v>403.81013280390016</v>
      </c>
      <c r="S17" s="164">
        <f>'Escenario 3'!T30/P</f>
        <v>96.557309528835717</v>
      </c>
    </row>
    <row r="18" spans="2:19" ht="16.5" x14ac:dyDescent="0.35">
      <c r="B18" s="28" t="s">
        <v>474</v>
      </c>
      <c r="C18" s="164">
        <f>'Escenario 3'!D31/P</f>
        <v>0</v>
      </c>
      <c r="D18" s="164">
        <f>'Escenario 3'!E31/P</f>
        <v>0</v>
      </c>
      <c r="E18" s="164">
        <f>'Escenario 3'!F31/P</f>
        <v>0</v>
      </c>
      <c r="F18" s="164">
        <f>'Escenario 3'!G31/P</f>
        <v>0</v>
      </c>
      <c r="G18" s="164">
        <f>'Escenario 3'!H31/P</f>
        <v>0</v>
      </c>
      <c r="H18" s="164">
        <f>'Escenario 3'!I31/P</f>
        <v>0</v>
      </c>
      <c r="I18" s="164">
        <f>'Escenario 3'!J31/P</f>
        <v>0</v>
      </c>
      <c r="J18" s="164">
        <f>'Escenario 3'!K31/P</f>
        <v>0</v>
      </c>
      <c r="K18" s="164">
        <f>'Escenario 3'!L31/P</f>
        <v>0</v>
      </c>
      <c r="L18" s="164">
        <f>'Escenario 3'!M31/P</f>
        <v>0</v>
      </c>
      <c r="M18" s="164">
        <f>'Escenario 3'!N31/P</f>
        <v>608.60135838267593</v>
      </c>
      <c r="N18" s="164">
        <f>'Escenario 3'!O31/P</f>
        <v>608.60135838267593</v>
      </c>
      <c r="O18" s="164">
        <f>'Escenario 3'!P31/P</f>
        <v>266.86263591079245</v>
      </c>
      <c r="P18" s="164">
        <f>'Escenario 3'!Q31/P</f>
        <v>341.73872247188348</v>
      </c>
      <c r="Q18" s="164">
        <f>'Escenario 3'!R31/P</f>
        <v>341.73872247188348</v>
      </c>
      <c r="R18" s="164">
        <f>'Escenario 3'!S31/P</f>
        <v>251.06134399357398</v>
      </c>
      <c r="S18" s="164">
        <f>'Escenario 3'!T31/P</f>
        <v>15.801291917218542</v>
      </c>
    </row>
    <row r="19" spans="2:19" ht="16.5" x14ac:dyDescent="0.35">
      <c r="B19" s="28" t="s">
        <v>459</v>
      </c>
      <c r="C19" s="164">
        <f>'Escenario 3'!D32/P</f>
        <v>0</v>
      </c>
      <c r="D19" s="164">
        <f>'Escenario 3'!E32/P</f>
        <v>0</v>
      </c>
      <c r="E19" s="164">
        <f>'Escenario 3'!F32/P</f>
        <v>0</v>
      </c>
      <c r="F19" s="164">
        <f>'Escenario 3'!G32/P</f>
        <v>0</v>
      </c>
      <c r="G19" s="164">
        <f>'Escenario 3'!H32/P</f>
        <v>0</v>
      </c>
      <c r="H19" s="164">
        <f>'Escenario 3'!I32/P</f>
        <v>24.514018194790921</v>
      </c>
      <c r="I19" s="164">
        <f>'Escenario 3'!J32/P</f>
        <v>0</v>
      </c>
      <c r="J19" s="164">
        <f>'Escenario 3'!K32/P</f>
        <v>0</v>
      </c>
      <c r="K19" s="164">
        <f>'Escenario 3'!L32/P</f>
        <v>23.28831728505137</v>
      </c>
      <c r="L19" s="164">
        <f>'Escenario 3'!M32/P</f>
        <v>23.28831728505137</v>
      </c>
      <c r="M19" s="164">
        <f>'Escenario 3'!N32/P</f>
        <v>0</v>
      </c>
      <c r="N19" s="164">
        <f>'Escenario 3'!O32/P</f>
        <v>20.959485556546237</v>
      </c>
      <c r="O19" s="164">
        <f>'Escenario 3'!P32/P</f>
        <v>0</v>
      </c>
      <c r="P19" s="164">
        <f>'Escenario 3'!Q32/P</f>
        <v>19.911511278718923</v>
      </c>
      <c r="Q19" s="164">
        <f>'Escenario 3'!R32/P</f>
        <v>19.911511278718923</v>
      </c>
      <c r="R19" s="164">
        <f>'Escenario 3'!S32/P</f>
        <v>0</v>
      </c>
      <c r="S19" s="164">
        <f>'Escenario 3'!T32/P</f>
        <v>0</v>
      </c>
    </row>
    <row r="20" spans="2:19" ht="16.5" x14ac:dyDescent="0.35">
      <c r="B20" s="28" t="s">
        <v>460</v>
      </c>
      <c r="C20" s="164">
        <f>'Escenario 3'!D34/P</f>
        <v>16.473420226899499</v>
      </c>
      <c r="D20" s="164">
        <f>'Escenario 3'!E34/P</f>
        <v>0</v>
      </c>
      <c r="E20" s="164">
        <f>'Escenario 3'!F34/P</f>
        <v>0</v>
      </c>
      <c r="F20" s="164">
        <f>'Escenario 3'!G34/P</f>
        <v>16.473420226899499</v>
      </c>
      <c r="G20" s="164">
        <f>'Escenario 3'!H34/P</f>
        <v>0</v>
      </c>
      <c r="H20" s="164">
        <f>'Escenario 3'!I34/P</f>
        <v>24.514018194790921</v>
      </c>
      <c r="I20" s="164">
        <f>'Escenario 3'!J34/P</f>
        <v>0</v>
      </c>
      <c r="J20" s="164">
        <f>'Escenario 3'!K34/P</f>
        <v>0</v>
      </c>
      <c r="K20" s="164">
        <f>'Escenario 3'!L34/P</f>
        <v>23.28831728505137</v>
      </c>
      <c r="L20" s="164">
        <f>'Escenario 3'!M34/P</f>
        <v>23.28831728505137</v>
      </c>
      <c r="M20" s="164">
        <f>'Escenario 3'!N34/P</f>
        <v>0</v>
      </c>
      <c r="N20" s="164">
        <f>'Escenario 3'!O34/P</f>
        <v>20.959485556546237</v>
      </c>
      <c r="O20" s="164">
        <f>'Escenario 3'!P34/P</f>
        <v>0</v>
      </c>
      <c r="P20" s="164">
        <f>'Escenario 3'!Q34/P</f>
        <v>19.911511278718923</v>
      </c>
      <c r="Q20" s="164">
        <f>'Escenario 3'!R34/P</f>
        <v>19.911511278718923</v>
      </c>
      <c r="R20" s="164">
        <f>'Escenario 3'!S34/P</f>
        <v>0</v>
      </c>
      <c r="S20" s="164">
        <f>'Escenario 3'!T34/P</f>
        <v>0</v>
      </c>
    </row>
    <row r="21" spans="2:19" ht="16.5" x14ac:dyDescent="0.35">
      <c r="B21" s="28" t="s">
        <v>461</v>
      </c>
      <c r="C21" s="164">
        <f>'Escenario 3'!D36/P</f>
        <v>27.96559195661748</v>
      </c>
      <c r="D21" s="164">
        <f>'Escenario 3'!E36/P</f>
        <v>0</v>
      </c>
      <c r="E21" s="164">
        <f>'Escenario 3'!F36/P</f>
        <v>2.8072266569581887</v>
      </c>
      <c r="F21" s="164">
        <f>'Escenario 3'!G36/P</f>
        <v>30.772818613575673</v>
      </c>
      <c r="G21" s="164">
        <f>'Escenario 3'!H36/P</f>
        <v>13.210481835081856</v>
      </c>
      <c r="H21" s="164">
        <f>'Escenario 3'!I36/P</f>
        <v>17.562336778493815</v>
      </c>
      <c r="I21" s="164">
        <f>'Escenario 3'!J36/P</f>
        <v>5.0810802490943212</v>
      </c>
      <c r="J21" s="164">
        <f>'Escenario 3'!K36/P</f>
        <v>2.2738535921361325</v>
      </c>
      <c r="K21" s="164">
        <f>'Escenario 3'!L36/P</f>
        <v>12.481256529399495</v>
      </c>
      <c r="L21" s="164">
        <f>'Escenario 3'!M36/P</f>
        <v>12.481256529399495</v>
      </c>
      <c r="M21" s="164">
        <f>'Escenario 3'!N36/P</f>
        <v>377.10239073625354</v>
      </c>
      <c r="N21" s="164">
        <f>'Escenario 3'!O36/P</f>
        <v>389.5836472656531</v>
      </c>
      <c r="O21" s="164">
        <f>'Escenario 3'!P36/P</f>
        <v>167.07234542569176</v>
      </c>
      <c r="P21" s="164">
        <f>'Escenario 3'!Q36/P</f>
        <v>222.51130183996133</v>
      </c>
      <c r="Q21" s="164">
        <f>'Escenario 3'!R36/P</f>
        <v>222.51130183996133</v>
      </c>
      <c r="R21" s="164">
        <f>'Escenario 3'!S36/P</f>
        <v>155.56296701839349</v>
      </c>
      <c r="S21" s="164">
        <f>'Escenario 3'!T36/P</f>
        <v>11.509378407298328</v>
      </c>
    </row>
    <row r="22" spans="2:19" ht="16.5" x14ac:dyDescent="0.35">
      <c r="B22" s="28" t="s">
        <v>462</v>
      </c>
      <c r="C22" s="164">
        <f>'Escenario 3'!D38/P</f>
        <v>10.040941852586361</v>
      </c>
      <c r="D22" s="164">
        <f>'Escenario 3'!E38/P</f>
        <v>0</v>
      </c>
      <c r="E22" s="164">
        <f>'Escenario 3'!F38/P</f>
        <v>4.0316971903579049</v>
      </c>
      <c r="F22" s="164">
        <f>'Escenario 3'!G38/P</f>
        <v>14.072639042944267</v>
      </c>
      <c r="G22" s="164">
        <f>'Escenario 3'!H38/P</f>
        <v>4.0010256096406298</v>
      </c>
      <c r="H22" s="164">
        <f>'Escenario 3'!I38/P</f>
        <v>10.071613433303638</v>
      </c>
      <c r="I22" s="164">
        <f>'Escenario 3'!J38/P</f>
        <v>7.2973719145478082</v>
      </c>
      <c r="J22" s="164">
        <f>'Escenario 3'!K38/P</f>
        <v>3.2656747241899033</v>
      </c>
      <c r="K22" s="164">
        <f>'Escenario 3'!L38/P</f>
        <v>2.7742415187558285</v>
      </c>
      <c r="L22" s="164">
        <f>'Escenario 3'!M38/P</f>
        <v>2.7742415187558285</v>
      </c>
      <c r="M22" s="164">
        <f>'Escenario 3'!N38/P</f>
        <v>0</v>
      </c>
      <c r="N22" s="164">
        <f>'Escenario 3'!O38/P</f>
        <v>2.7742415187558285</v>
      </c>
      <c r="O22" s="164">
        <f>'Escenario 3'!P38/P</f>
        <v>0.53247628036691297</v>
      </c>
      <c r="P22" s="164">
        <f>'Escenario 3'!Q38/P</f>
        <v>2.2417652383889157</v>
      </c>
      <c r="Q22" s="164">
        <f>'Escenario 3'!R38/P</f>
        <v>2.2417652383889157</v>
      </c>
      <c r="R22" s="164">
        <f>'Escenario 3'!S38/P</f>
        <v>0</v>
      </c>
      <c r="S22" s="164">
        <f>'Escenario 3'!T38/P</f>
        <v>0.53247628036691297</v>
      </c>
    </row>
    <row r="23" spans="2:19" ht="16.5" x14ac:dyDescent="0.35">
      <c r="B23" s="28" t="s">
        <v>463</v>
      </c>
      <c r="C23" s="164">
        <f>'Escenario 3'!D40/P</f>
        <v>6.5266122041811352</v>
      </c>
      <c r="D23" s="164">
        <f>'Escenario 3'!E40/P</f>
        <v>0</v>
      </c>
      <c r="E23" s="164">
        <f>'Escenario 3'!F40/P</f>
        <v>0.11644158642525687</v>
      </c>
      <c r="F23" s="164">
        <f>'Escenario 3'!G40/P</f>
        <v>6.643053790606392</v>
      </c>
      <c r="G23" s="164">
        <f>'Escenario 3'!H40/P</f>
        <v>0.66430537906063925</v>
      </c>
      <c r="H23" s="164">
        <f>'Escenario 3'!I40/P</f>
        <v>5.9787484115457525</v>
      </c>
      <c r="I23" s="164">
        <f>'Escenario 3'!J40/P</f>
        <v>0.21075927142971496</v>
      </c>
      <c r="J23" s="164">
        <f>'Escenario 3'!K40/P</f>
        <v>9.4317685004458057E-2</v>
      </c>
      <c r="K23" s="164">
        <f>'Escenario 3'!L40/P</f>
        <v>5.7679891401160379</v>
      </c>
      <c r="L23" s="164">
        <f>'Escenario 3'!M40/P</f>
        <v>5.7679891401160379</v>
      </c>
      <c r="M23" s="164">
        <f>'Escenario 3'!N40/P</f>
        <v>0</v>
      </c>
      <c r="N23" s="164">
        <f>'Escenario 3'!O40/P</f>
        <v>5.7679891401160379</v>
      </c>
      <c r="O23" s="164" t="s">
        <v>33</v>
      </c>
      <c r="P23" s="164" t="s">
        <v>33</v>
      </c>
      <c r="Q23" s="164" t="s">
        <v>33</v>
      </c>
      <c r="R23" s="164" t="s">
        <v>33</v>
      </c>
      <c r="S23" s="164" t="s">
        <v>33</v>
      </c>
    </row>
    <row r="24" spans="2:19" ht="16.5" x14ac:dyDescent="0.35">
      <c r="B24" s="28" t="s">
        <v>464</v>
      </c>
      <c r="C24" s="164">
        <f>'Escenario 3'!D42/P</f>
        <v>0.14904523062432881</v>
      </c>
      <c r="D24" s="164">
        <f>'Escenario 3'!E42/P</f>
        <v>0</v>
      </c>
      <c r="E24" s="164">
        <f>'Escenario 3'!F42/P</f>
        <v>5.9845505169375153E-2</v>
      </c>
      <c r="F24" s="164">
        <f>'Escenario 3'!G42/P</f>
        <v>0.20889073579370396</v>
      </c>
      <c r="G24" s="164">
        <f>'Escenario 3'!H42/P</f>
        <v>1.9562186519443185E-2</v>
      </c>
      <c r="H24" s="164">
        <f>'Escenario 3'!I42/P</f>
        <v>0.18932854927426079</v>
      </c>
      <c r="I24" s="164">
        <f>'Escenario 3'!J42/P</f>
        <v>0.10832036435656901</v>
      </c>
      <c r="J24" s="164">
        <f>'Escenario 3'!K42/P</f>
        <v>4.8474859187193874E-2</v>
      </c>
      <c r="K24" s="164">
        <f>'Escenario 3'!L42/P</f>
        <v>8.1008184917691767E-2</v>
      </c>
      <c r="L24" s="164">
        <f>'Escenario 3'!M42/P</f>
        <v>8.1008184917691767E-2</v>
      </c>
      <c r="M24" s="164">
        <f>'Escenario 3'!N42/P</f>
        <v>0</v>
      </c>
      <c r="N24" s="164">
        <f>'Escenario 3'!O42/P</f>
        <v>8.1008184917691767E-2</v>
      </c>
      <c r="O24" s="164">
        <f>'Escenario 3'!P42/P</f>
        <v>1.8129728248053058E-2</v>
      </c>
      <c r="P24" s="164">
        <f>'Escenario 3'!Q42/P</f>
        <v>6.2878456669638719E-2</v>
      </c>
      <c r="Q24" s="164">
        <f>'Escenario 3'!R42/P</f>
        <v>4.487314520723328</v>
      </c>
      <c r="R24" s="164">
        <f>'Escenario 3'!S42/P</f>
        <v>0</v>
      </c>
      <c r="S24" s="164">
        <f>'Escenario 3'!T42/P</f>
        <v>1.8129728248053058E-2</v>
      </c>
    </row>
    <row r="25" spans="2:19" ht="16.5" x14ac:dyDescent="0.35">
      <c r="B25" s="28" t="s">
        <v>465</v>
      </c>
      <c r="C25" s="164">
        <f>'Escenario 3'!D44/P</f>
        <v>0</v>
      </c>
      <c r="D25" s="164">
        <f>'Escenario 3'!E44/P</f>
        <v>0</v>
      </c>
      <c r="E25" s="164">
        <f>'Escenario 3'!F44/P</f>
        <v>0</v>
      </c>
      <c r="F25" s="164">
        <f>'Escenario 3'!G44/P</f>
        <v>0</v>
      </c>
      <c r="G25" s="164">
        <f>'Escenario 3'!H44/P</f>
        <v>0</v>
      </c>
      <c r="H25" s="164">
        <f>'Escenario 3'!I44/P</f>
        <v>12.040060036371559</v>
      </c>
      <c r="I25" s="164">
        <f>'Escenario 3'!J44/P</f>
        <v>0</v>
      </c>
      <c r="J25" s="164">
        <f>'Escenario 3'!K44/P</f>
        <v>0</v>
      </c>
      <c r="K25" s="164">
        <f>'Escenario 3'!L44/P</f>
        <v>12.040060036371559</v>
      </c>
      <c r="L25" s="164">
        <f>'Escenario 3'!M44/P</f>
        <v>12.040060036371559</v>
      </c>
      <c r="M25" s="164">
        <f>'Escenario 3'!N44/P</f>
        <v>0</v>
      </c>
      <c r="N25" s="164">
        <f>'Escenario 3'!O44/P</f>
        <v>12.040060036371559</v>
      </c>
      <c r="O25" s="164">
        <f>'Escenario 3'!P44/P</f>
        <v>1.7458087052738758</v>
      </c>
      <c r="P25" s="164">
        <f>'Escenario 3'!Q44/P</f>
        <v>10.294251331097684</v>
      </c>
      <c r="Q25" s="164">
        <f>'Escenario 3'!R44/P</f>
        <v>10.294251331097684</v>
      </c>
      <c r="R25" s="164" t="s">
        <v>33</v>
      </c>
      <c r="S25" s="164" t="s">
        <v>33</v>
      </c>
    </row>
    <row r="26" spans="2:19" ht="16.5" x14ac:dyDescent="0.35">
      <c r="B26" s="28" t="s">
        <v>466</v>
      </c>
      <c r="C26" s="164">
        <f>'Escenario 3'!D46/P</f>
        <v>0</v>
      </c>
      <c r="D26" s="164">
        <f>'Escenario 3'!E46/P</f>
        <v>0</v>
      </c>
      <c r="E26" s="164">
        <f>'Escenario 3'!F46/P</f>
        <v>0</v>
      </c>
      <c r="F26" s="164">
        <f>'Escenario 3'!G46/P</f>
        <v>0</v>
      </c>
      <c r="G26" s="164">
        <f>'Escenario 3'!H46/P</f>
        <v>0</v>
      </c>
      <c r="H26" s="164">
        <f>'Escenario 3'!I46/P</f>
        <v>5.1932947545664554</v>
      </c>
      <c r="I26" s="164">
        <f>'Escenario 3'!J46/P</f>
        <v>0</v>
      </c>
      <c r="J26" s="164">
        <f>'Escenario 3'!K46/P</f>
        <v>0</v>
      </c>
      <c r="K26" s="164">
        <f>'Escenario 3'!L46/P</f>
        <v>5.1932947545664554</v>
      </c>
      <c r="L26" s="164">
        <f>'Escenario 3'!M46/P</f>
        <v>5.1932947545664554</v>
      </c>
      <c r="M26" s="164">
        <f>'Escenario 3'!N46/P</f>
        <v>0</v>
      </c>
      <c r="N26" s="164">
        <f>'Escenario 3'!O46/P</f>
        <v>5.1932947545664554</v>
      </c>
      <c r="O26" s="164">
        <f>'Escenario 3'!P46/P</f>
        <v>0.7530277394121353</v>
      </c>
      <c r="P26" s="164">
        <f>'Escenario 3'!Q46/P</f>
        <v>4.44026701515432</v>
      </c>
      <c r="Q26" s="164">
        <f>'Escenario 3'!R46/P</f>
        <v>4.44026701515432</v>
      </c>
      <c r="R26" s="164" t="s">
        <v>33</v>
      </c>
      <c r="S26" s="164" t="s">
        <v>33</v>
      </c>
    </row>
    <row r="27" spans="2:19" ht="16.5" x14ac:dyDescent="0.35">
      <c r="B27" s="28" t="s">
        <v>467</v>
      </c>
      <c r="C27" s="164">
        <f>'Escenario 3'!D48/P</f>
        <v>0</v>
      </c>
      <c r="D27" s="164">
        <f>'Escenario 3'!E48/P</f>
        <v>0</v>
      </c>
      <c r="E27" s="164">
        <f>'Escenario 3'!F48/P</f>
        <v>0</v>
      </c>
      <c r="F27" s="164">
        <f>'Escenario 3'!G48/P</f>
        <v>0</v>
      </c>
      <c r="G27" s="164">
        <f>'Escenario 3'!H48/P</f>
        <v>0</v>
      </c>
      <c r="H27" s="164">
        <f>'Escenario 3'!I48/P</f>
        <v>3.1206345161968843</v>
      </c>
      <c r="I27" s="164">
        <f>'Escenario 3'!J48/P</f>
        <v>0</v>
      </c>
      <c r="J27" s="164">
        <f>'Escenario 3'!K48/P</f>
        <v>0</v>
      </c>
      <c r="K27" s="164">
        <f>'Escenario 3'!L48/P</f>
        <v>3.1206345161968843</v>
      </c>
      <c r="L27" s="164">
        <f>'Escenario 3'!M48/P</f>
        <v>3.1206345161968843</v>
      </c>
      <c r="M27" s="164">
        <f>'Escenario 3'!N48/P</f>
        <v>0</v>
      </c>
      <c r="N27" s="164">
        <f>'Escenario 3'!O48/P</f>
        <v>3.1206345161968843</v>
      </c>
      <c r="O27" s="164">
        <f>'Escenario 3'!P48/P</f>
        <v>0.45249200484854818</v>
      </c>
      <c r="P27" s="164">
        <f>'Escenario 3'!Q48/P</f>
        <v>2.6681425113483361</v>
      </c>
      <c r="Q27" s="164">
        <f>'Escenario 3'!R48/P</f>
        <v>2.6681425113483361</v>
      </c>
      <c r="R27" s="164" t="s">
        <v>33</v>
      </c>
      <c r="S27" s="164" t="s">
        <v>33</v>
      </c>
    </row>
    <row r="28" spans="2:19" ht="15" thickBot="1" x14ac:dyDescent="0.4"/>
    <row r="29" spans="2:19" s="166" customFormat="1" ht="15" thickBot="1" x14ac:dyDescent="0.4">
      <c r="B29" s="300" t="s">
        <v>475</v>
      </c>
      <c r="C29" s="301"/>
      <c r="D29" s="301"/>
      <c r="E29" s="301"/>
      <c r="F29" s="301"/>
      <c r="G29" s="301"/>
      <c r="H29" s="302"/>
      <c r="I29" s="167"/>
      <c r="J29" s="168" t="s">
        <v>658</v>
      </c>
      <c r="K29" s="167"/>
      <c r="L29" s="167"/>
      <c r="M29" s="167"/>
    </row>
    <row r="30" spans="2:19" x14ac:dyDescent="0.35">
      <c r="B30" s="165"/>
      <c r="C30" s="9"/>
      <c r="D30" s="9"/>
      <c r="E30" s="9"/>
      <c r="F30" s="9"/>
      <c r="G30" s="9"/>
      <c r="H30" s="9"/>
      <c r="I30" s="9"/>
      <c r="J30" s="3"/>
      <c r="K30" s="9"/>
      <c r="L30" s="9"/>
      <c r="M30" s="9"/>
    </row>
    <row r="31" spans="2:19" x14ac:dyDescent="0.35">
      <c r="B31" s="169" t="s">
        <v>476</v>
      </c>
      <c r="C31" s="169" t="s">
        <v>432</v>
      </c>
      <c r="D31" s="169" t="s">
        <v>477</v>
      </c>
      <c r="E31" s="293" t="s">
        <v>478</v>
      </c>
      <c r="F31" s="293"/>
      <c r="G31" s="293"/>
      <c r="H31" s="293"/>
      <c r="I31" s="293"/>
      <c r="J31" s="293"/>
      <c r="K31" s="293"/>
      <c r="L31" s="293"/>
      <c r="M31" s="293"/>
    </row>
    <row r="32" spans="2:19" ht="16.5" x14ac:dyDescent="0.35">
      <c r="B32" s="170" t="s">
        <v>479</v>
      </c>
      <c r="C32" s="171">
        <f>C16</f>
        <v>1.9611214555832739</v>
      </c>
      <c r="D32" s="28" t="s">
        <v>437</v>
      </c>
      <c r="E32" s="272" t="s">
        <v>479</v>
      </c>
      <c r="F32" s="272"/>
      <c r="G32" s="272"/>
      <c r="H32" s="272"/>
      <c r="I32" s="272"/>
      <c r="J32" s="272"/>
      <c r="K32" s="272"/>
      <c r="L32" s="272"/>
      <c r="M32" s="272"/>
    </row>
    <row r="33" spans="1:14" ht="16.5" x14ac:dyDescent="0.35">
      <c r="B33" s="172" t="s">
        <v>284</v>
      </c>
      <c r="C33" s="171">
        <f>D17</f>
        <v>11521.588551551733</v>
      </c>
      <c r="D33" s="28" t="s">
        <v>441</v>
      </c>
      <c r="E33" s="272" t="s">
        <v>480</v>
      </c>
      <c r="F33" s="272"/>
      <c r="G33" s="272"/>
      <c r="H33" s="272"/>
      <c r="I33" s="272"/>
      <c r="J33" s="272"/>
      <c r="K33" s="272"/>
      <c r="L33" s="272"/>
      <c r="M33" s="272"/>
    </row>
    <row r="34" spans="1:14" ht="16.5" x14ac:dyDescent="0.35">
      <c r="B34" s="173" t="s">
        <v>446</v>
      </c>
      <c r="C34" s="171">
        <f>C10</f>
        <v>1.4708410916874555</v>
      </c>
      <c r="D34" s="28" t="s">
        <v>441</v>
      </c>
      <c r="E34" s="268" t="s">
        <v>481</v>
      </c>
      <c r="F34" s="269"/>
      <c r="G34" s="269"/>
      <c r="H34" s="269"/>
      <c r="I34" s="269"/>
      <c r="J34" s="269"/>
      <c r="K34" s="269"/>
      <c r="L34" s="269"/>
      <c r="M34" s="270"/>
    </row>
    <row r="35" spans="1:14" ht="16.5" x14ac:dyDescent="0.35">
      <c r="B35" s="174" t="s">
        <v>482</v>
      </c>
      <c r="C35" s="175">
        <f>C7</f>
        <v>36.771027292186382</v>
      </c>
      <c r="D35" s="40" t="s">
        <v>483</v>
      </c>
      <c r="E35" s="309" t="s">
        <v>484</v>
      </c>
      <c r="F35" s="310"/>
      <c r="G35" s="310"/>
      <c r="H35" s="310"/>
      <c r="I35" s="310"/>
      <c r="J35" s="310"/>
      <c r="K35" s="310"/>
      <c r="L35" s="310"/>
      <c r="M35" s="311"/>
    </row>
    <row r="36" spans="1:14" ht="16.5" x14ac:dyDescent="0.35">
      <c r="B36" s="172" t="s">
        <v>485</v>
      </c>
      <c r="C36" s="175">
        <f>'Escenario 3'!C122/P</f>
        <v>26.828141512379187</v>
      </c>
      <c r="D36" s="28" t="s">
        <v>439</v>
      </c>
      <c r="E36" s="268" t="s">
        <v>486</v>
      </c>
      <c r="F36" s="269"/>
      <c r="G36" s="269"/>
      <c r="H36" s="269"/>
      <c r="I36" s="269"/>
      <c r="J36" s="269"/>
      <c r="K36" s="269"/>
      <c r="L36" s="269"/>
      <c r="M36" s="270"/>
    </row>
    <row r="37" spans="1:14" ht="16.5" x14ac:dyDescent="0.35">
      <c r="B37" s="172" t="s">
        <v>487</v>
      </c>
      <c r="C37" s="171">
        <f>(('Escenario 3'!C157+'Escenario 3'!C158+'Escenario 3'!C160)*8)/(1000*P)</f>
        <v>4.5514212264338466E-2</v>
      </c>
      <c r="D37" s="28" t="s">
        <v>439</v>
      </c>
      <c r="E37" s="268" t="s">
        <v>486</v>
      </c>
      <c r="F37" s="269"/>
      <c r="G37" s="269"/>
      <c r="H37" s="269"/>
      <c r="I37" s="269"/>
      <c r="J37" s="269"/>
      <c r="K37" s="269"/>
      <c r="L37" s="269"/>
      <c r="M37" s="270"/>
    </row>
    <row r="38" spans="1:14" x14ac:dyDescent="0.35">
      <c r="B38" s="176" t="s">
        <v>488</v>
      </c>
      <c r="C38" s="176" t="s">
        <v>432</v>
      </c>
      <c r="D38" s="176" t="s">
        <v>477</v>
      </c>
      <c r="E38" s="289" t="s">
        <v>478</v>
      </c>
      <c r="F38" s="290"/>
      <c r="G38" s="290"/>
      <c r="H38" s="290"/>
      <c r="I38" s="290"/>
      <c r="J38" s="290"/>
      <c r="K38" s="290"/>
      <c r="L38" s="290"/>
      <c r="M38" s="291"/>
    </row>
    <row r="39" spans="1:14" ht="16.5" x14ac:dyDescent="0.35">
      <c r="B39" s="177" t="s">
        <v>489</v>
      </c>
      <c r="C39" s="171">
        <f>H16</f>
        <v>12.257009097395461</v>
      </c>
      <c r="D39" s="28" t="s">
        <v>437</v>
      </c>
      <c r="E39" s="268" t="s">
        <v>490</v>
      </c>
      <c r="F39" s="269"/>
      <c r="G39" s="269"/>
      <c r="H39" s="269"/>
      <c r="I39" s="269"/>
      <c r="J39" s="269"/>
      <c r="K39" s="269"/>
      <c r="L39" s="269"/>
      <c r="M39" s="270"/>
    </row>
    <row r="40" spans="1:14" ht="16.5" x14ac:dyDescent="0.35">
      <c r="B40" s="64" t="s">
        <v>491</v>
      </c>
      <c r="C40" s="171">
        <f>H19</f>
        <v>24.514018194790921</v>
      </c>
      <c r="D40" s="28" t="s">
        <v>441</v>
      </c>
      <c r="E40" s="268" t="s">
        <v>33</v>
      </c>
      <c r="F40" s="269"/>
      <c r="G40" s="269"/>
      <c r="H40" s="269"/>
      <c r="I40" s="269"/>
      <c r="J40" s="269"/>
      <c r="K40" s="269"/>
      <c r="L40" s="269"/>
      <c r="M40" s="270"/>
    </row>
    <row r="41" spans="1:14" x14ac:dyDescent="0.35">
      <c r="B41" s="178" t="s">
        <v>492</v>
      </c>
      <c r="C41" s="178" t="s">
        <v>432</v>
      </c>
      <c r="D41" s="178" t="s">
        <v>477</v>
      </c>
      <c r="E41" s="303" t="s">
        <v>478</v>
      </c>
      <c r="F41" s="304"/>
      <c r="G41" s="304"/>
      <c r="H41" s="304"/>
      <c r="I41" s="304"/>
      <c r="J41" s="304"/>
      <c r="K41" s="304"/>
      <c r="L41" s="304"/>
      <c r="M41" s="305"/>
    </row>
    <row r="42" spans="1:14" ht="16.5" x14ac:dyDescent="0.35">
      <c r="B42" s="179" t="s">
        <v>493</v>
      </c>
      <c r="C42" s="171">
        <f>G17</f>
        <v>7354.2054584372763</v>
      </c>
      <c r="D42" s="28" t="s">
        <v>441</v>
      </c>
      <c r="E42" s="268" t="s">
        <v>284</v>
      </c>
      <c r="F42" s="269"/>
      <c r="G42" s="269"/>
      <c r="H42" s="269"/>
      <c r="I42" s="269"/>
      <c r="J42" s="269"/>
      <c r="K42" s="269"/>
      <c r="L42" s="269"/>
      <c r="M42" s="270"/>
    </row>
    <row r="43" spans="1:14" ht="16.5" x14ac:dyDescent="0.35">
      <c r="B43" s="180" t="s">
        <v>227</v>
      </c>
      <c r="C43" s="171">
        <f>C35*0.38</f>
        <v>13.972990371030825</v>
      </c>
      <c r="D43" s="28" t="s">
        <v>441</v>
      </c>
      <c r="E43" s="268" t="s">
        <v>494</v>
      </c>
      <c r="F43" s="269"/>
      <c r="G43" s="269"/>
      <c r="H43" s="269"/>
      <c r="I43" s="269"/>
      <c r="J43" s="269"/>
      <c r="K43" s="269"/>
      <c r="L43" s="269"/>
      <c r="M43" s="270"/>
    </row>
    <row r="44" spans="1:14" ht="16.5" x14ac:dyDescent="0.35">
      <c r="B44" s="179" t="s">
        <v>495</v>
      </c>
      <c r="C44" s="171">
        <f>G23</f>
        <v>0.66430537906063925</v>
      </c>
      <c r="D44" s="28" t="s">
        <v>441</v>
      </c>
      <c r="E44" s="268" t="s">
        <v>496</v>
      </c>
      <c r="F44" s="269"/>
      <c r="G44" s="269"/>
      <c r="H44" s="269"/>
      <c r="I44" s="269"/>
      <c r="J44" s="269"/>
      <c r="K44" s="269"/>
      <c r="L44" s="269"/>
      <c r="M44" s="270"/>
      <c r="N44" s="3"/>
    </row>
    <row r="45" spans="1:14" x14ac:dyDescent="0.35">
      <c r="B45" s="62" t="s">
        <v>497</v>
      </c>
      <c r="C45" s="62" t="s">
        <v>432</v>
      </c>
      <c r="D45" s="62" t="s">
        <v>477</v>
      </c>
      <c r="E45" s="306" t="s">
        <v>478</v>
      </c>
      <c r="F45" s="307"/>
      <c r="G45" s="307"/>
      <c r="H45" s="307"/>
      <c r="I45" s="307"/>
      <c r="J45" s="307"/>
      <c r="K45" s="307"/>
      <c r="L45" s="307"/>
      <c r="M45" s="308"/>
      <c r="N45" s="3"/>
    </row>
    <row r="46" spans="1:14" ht="16.5" hidden="1" x14ac:dyDescent="0.35">
      <c r="B46" s="181" t="s">
        <v>79</v>
      </c>
      <c r="C46" s="171">
        <f>C22</f>
        <v>10.040941852586361</v>
      </c>
      <c r="D46" s="28" t="s">
        <v>441</v>
      </c>
      <c r="E46" s="268" t="s">
        <v>498</v>
      </c>
      <c r="F46" s="269"/>
      <c r="G46" s="269"/>
      <c r="H46" s="269"/>
      <c r="I46" s="269"/>
      <c r="J46" s="269"/>
      <c r="K46" s="269"/>
      <c r="L46" s="269"/>
      <c r="M46" s="270"/>
      <c r="N46" s="3"/>
    </row>
    <row r="47" spans="1:14" ht="16.5" hidden="1" x14ac:dyDescent="0.35">
      <c r="B47" s="181" t="s">
        <v>83</v>
      </c>
      <c r="C47" s="171">
        <f>C24</f>
        <v>0.14904523062432881</v>
      </c>
      <c r="D47" s="28" t="s">
        <v>441</v>
      </c>
      <c r="E47" s="268" t="s">
        <v>499</v>
      </c>
      <c r="F47" s="269"/>
      <c r="G47" s="269"/>
      <c r="H47" s="269"/>
      <c r="I47" s="269"/>
      <c r="J47" s="269"/>
      <c r="K47" s="269"/>
      <c r="L47" s="269"/>
      <c r="M47" s="270"/>
      <c r="N47" s="3"/>
    </row>
    <row r="48" spans="1:14" ht="16.5" x14ac:dyDescent="0.35">
      <c r="A48" s="182"/>
      <c r="B48" s="181" t="s">
        <v>500</v>
      </c>
      <c r="C48" s="171">
        <f>($C$16*Calculations!C26)/1000</f>
        <v>1.0982280151266333E-2</v>
      </c>
      <c r="D48" s="28" t="s">
        <v>441</v>
      </c>
      <c r="E48" s="272" t="s">
        <v>33</v>
      </c>
      <c r="F48" s="272"/>
      <c r="G48" s="272"/>
      <c r="H48" s="272"/>
      <c r="I48" s="272"/>
      <c r="J48" s="272"/>
      <c r="K48" s="272"/>
      <c r="L48" s="272"/>
      <c r="M48" s="272"/>
      <c r="N48" s="3"/>
    </row>
    <row r="49" spans="1:14" ht="16.5" x14ac:dyDescent="0.35">
      <c r="A49" s="182"/>
      <c r="B49" s="181" t="s">
        <v>501</v>
      </c>
      <c r="C49" s="171">
        <f>($C$16*Calculations!C27)/1000</f>
        <v>3.8437980529432175E-2</v>
      </c>
      <c r="D49" s="28" t="s">
        <v>441</v>
      </c>
      <c r="E49" s="268" t="s">
        <v>33</v>
      </c>
      <c r="F49" s="269"/>
      <c r="G49" s="269"/>
      <c r="H49" s="269"/>
      <c r="I49" s="269"/>
      <c r="J49" s="269"/>
      <c r="K49" s="269"/>
      <c r="L49" s="269"/>
      <c r="M49" s="270"/>
      <c r="N49" s="3"/>
    </row>
    <row r="50" spans="1:14" ht="16.5" x14ac:dyDescent="0.35">
      <c r="A50" s="182"/>
      <c r="B50" s="181" t="s">
        <v>502</v>
      </c>
      <c r="C50" s="171">
        <f>($C$16*Calculations!C28)/1000</f>
        <v>8.0405979678914232E-5</v>
      </c>
      <c r="D50" s="28" t="s">
        <v>441</v>
      </c>
      <c r="E50" s="268" t="s">
        <v>33</v>
      </c>
      <c r="F50" s="269"/>
      <c r="G50" s="269"/>
      <c r="H50" s="269"/>
      <c r="I50" s="269"/>
      <c r="J50" s="269"/>
      <c r="K50" s="269"/>
      <c r="L50" s="269"/>
      <c r="M50" s="270"/>
      <c r="N50" s="3"/>
    </row>
    <row r="51" spans="1:14" x14ac:dyDescent="0.35">
      <c r="B51" s="16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4" x14ac:dyDescent="0.35">
      <c r="B52" s="292" t="s">
        <v>503</v>
      </c>
      <c r="C52" s="292"/>
      <c r="D52" s="292"/>
      <c r="E52" s="292"/>
      <c r="F52" s="292"/>
      <c r="G52" s="292"/>
      <c r="H52" s="292"/>
      <c r="I52" s="183"/>
      <c r="J52" s="183"/>
      <c r="K52" s="183"/>
      <c r="L52" s="183"/>
      <c r="M52" s="183"/>
    </row>
    <row r="53" spans="1:14" x14ac:dyDescent="0.35">
      <c r="B53" s="124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</row>
    <row r="54" spans="1:14" x14ac:dyDescent="0.35">
      <c r="B54" s="169" t="s">
        <v>476</v>
      </c>
      <c r="C54" s="169" t="s">
        <v>432</v>
      </c>
      <c r="D54" s="169" t="s">
        <v>477</v>
      </c>
      <c r="E54" s="293" t="s">
        <v>478</v>
      </c>
      <c r="F54" s="293"/>
      <c r="G54" s="293"/>
      <c r="H54" s="293"/>
      <c r="I54" s="293"/>
      <c r="J54" s="293"/>
      <c r="K54" s="293"/>
      <c r="L54" s="293"/>
      <c r="M54" s="293"/>
    </row>
    <row r="55" spans="1:14" ht="16.5" x14ac:dyDescent="0.35">
      <c r="B55" s="172" t="s">
        <v>504</v>
      </c>
      <c r="C55" s="171">
        <f>C39</f>
        <v>12.257009097395461</v>
      </c>
      <c r="D55" s="28" t="s">
        <v>505</v>
      </c>
      <c r="E55" s="272" t="s">
        <v>506</v>
      </c>
      <c r="F55" s="272"/>
      <c r="G55" s="272"/>
      <c r="H55" s="272"/>
      <c r="I55" s="272"/>
      <c r="J55" s="272"/>
      <c r="K55" s="272"/>
      <c r="L55" s="272"/>
      <c r="M55" s="272"/>
      <c r="N55" s="14" t="s">
        <v>651</v>
      </c>
    </row>
    <row r="56" spans="1:14" ht="15" thickBot="1" x14ac:dyDescent="0.4"/>
    <row r="57" spans="1:14" s="166" customFormat="1" ht="15" thickBot="1" x14ac:dyDescent="0.4">
      <c r="B57" s="300" t="s">
        <v>539</v>
      </c>
      <c r="C57" s="301"/>
      <c r="D57" s="301"/>
      <c r="E57" s="301"/>
      <c r="F57" s="301"/>
      <c r="G57" s="301"/>
      <c r="H57" s="302"/>
      <c r="I57" s="186"/>
      <c r="J57" s="168"/>
      <c r="K57" s="186"/>
      <c r="L57" s="186"/>
      <c r="M57" s="186"/>
    </row>
    <row r="58" spans="1:14" x14ac:dyDescent="0.35">
      <c r="B58" s="124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</row>
    <row r="59" spans="1:14" x14ac:dyDescent="0.35">
      <c r="B59" s="169" t="s">
        <v>476</v>
      </c>
      <c r="C59" s="169" t="s">
        <v>432</v>
      </c>
      <c r="D59" s="169" t="s">
        <v>477</v>
      </c>
      <c r="E59" s="293" t="s">
        <v>478</v>
      </c>
      <c r="F59" s="293"/>
      <c r="G59" s="293"/>
      <c r="H59" s="293"/>
      <c r="I59" s="293"/>
      <c r="J59" s="293"/>
      <c r="K59" s="293"/>
      <c r="L59" s="293"/>
      <c r="M59" s="293"/>
    </row>
    <row r="60" spans="1:14" ht="16.5" x14ac:dyDescent="0.35">
      <c r="A60" t="s">
        <v>656</v>
      </c>
      <c r="B60" s="170" t="s">
        <v>489</v>
      </c>
      <c r="C60" s="171">
        <f>H16</f>
        <v>12.257009097395461</v>
      </c>
      <c r="D60" s="28" t="s">
        <v>437</v>
      </c>
      <c r="E60" s="268" t="s">
        <v>490</v>
      </c>
      <c r="F60" s="269"/>
      <c r="G60" s="269"/>
      <c r="H60" s="269"/>
      <c r="I60" s="269"/>
      <c r="J60" s="269"/>
      <c r="K60" s="269"/>
      <c r="L60" s="269"/>
      <c r="M60" s="270"/>
    </row>
    <row r="61" spans="1:14" ht="16.5" x14ac:dyDescent="0.35">
      <c r="A61" t="s">
        <v>656</v>
      </c>
      <c r="B61" s="172" t="s">
        <v>540</v>
      </c>
      <c r="C61" s="171">
        <f>('Escenario 3'!C142*'Escenario 3'!I28)/P</f>
        <v>2.4514018194790923</v>
      </c>
      <c r="D61" s="28" t="s">
        <v>439</v>
      </c>
      <c r="E61" s="268" t="s">
        <v>486</v>
      </c>
      <c r="F61" s="269"/>
      <c r="G61" s="269"/>
      <c r="H61" s="269"/>
      <c r="I61" s="269"/>
      <c r="J61" s="269"/>
      <c r="K61" s="269"/>
      <c r="L61" s="269"/>
      <c r="M61" s="270"/>
    </row>
    <row r="62" spans="1:14" ht="16.5" x14ac:dyDescent="0.35">
      <c r="A62" t="s">
        <v>656</v>
      </c>
      <c r="B62" s="172" t="s">
        <v>541</v>
      </c>
      <c r="C62" s="171">
        <f>(('Escenario 3'!C159+'Escenario 3'!C161)*8)/(P*1000)</f>
        <v>3.0356654488252761E-2</v>
      </c>
      <c r="D62" s="28" t="s">
        <v>439</v>
      </c>
      <c r="E62" s="268" t="s">
        <v>486</v>
      </c>
      <c r="F62" s="269"/>
      <c r="G62" s="269"/>
      <c r="H62" s="269"/>
      <c r="I62" s="269"/>
      <c r="J62" s="269"/>
      <c r="K62" s="269"/>
      <c r="L62" s="269"/>
      <c r="M62" s="270"/>
    </row>
    <row r="63" spans="1:14" x14ac:dyDescent="0.35">
      <c r="B63" s="176" t="s">
        <v>542</v>
      </c>
      <c r="C63" s="176" t="s">
        <v>432</v>
      </c>
      <c r="D63" s="176" t="s">
        <v>477</v>
      </c>
      <c r="E63" s="289" t="s">
        <v>478</v>
      </c>
      <c r="F63" s="290"/>
      <c r="G63" s="290"/>
      <c r="H63" s="290"/>
      <c r="I63" s="290"/>
      <c r="J63" s="290"/>
      <c r="K63" s="290"/>
      <c r="L63" s="290"/>
      <c r="M63" s="291"/>
    </row>
    <row r="64" spans="1:14" ht="16.5" x14ac:dyDescent="0.35">
      <c r="A64" t="s">
        <v>656</v>
      </c>
      <c r="B64" s="177" t="s">
        <v>543</v>
      </c>
      <c r="C64" s="171">
        <f>J16</f>
        <v>4.9640886844451604</v>
      </c>
      <c r="D64" s="28" t="s">
        <v>437</v>
      </c>
      <c r="E64" s="268" t="s">
        <v>544</v>
      </c>
      <c r="F64" s="269"/>
      <c r="G64" s="269"/>
      <c r="H64" s="269"/>
      <c r="I64" s="269"/>
      <c r="J64" s="269"/>
      <c r="K64" s="269"/>
      <c r="L64" s="269"/>
      <c r="M64" s="270"/>
    </row>
    <row r="65" spans="1:18" ht="16.5" x14ac:dyDescent="0.35">
      <c r="A65" t="s">
        <v>656</v>
      </c>
      <c r="B65" s="177" t="s">
        <v>545</v>
      </c>
      <c r="C65" s="171">
        <f>K16</f>
        <v>1.1644158642525686</v>
      </c>
      <c r="D65" s="28" t="s">
        <v>437</v>
      </c>
      <c r="E65" s="268" t="s">
        <v>546</v>
      </c>
      <c r="F65" s="269"/>
      <c r="G65" s="269"/>
      <c r="H65" s="269"/>
      <c r="I65" s="269"/>
      <c r="J65" s="269"/>
      <c r="K65" s="269"/>
      <c r="L65" s="269"/>
      <c r="M65" s="270"/>
      <c r="R65" s="3"/>
    </row>
    <row r="66" spans="1:18" ht="15" thickBot="1" x14ac:dyDescent="0.4">
      <c r="E66" s="200"/>
      <c r="F66" s="124"/>
      <c r="G66" s="124"/>
      <c r="H66" s="124"/>
      <c r="I66" s="124"/>
      <c r="J66" s="124"/>
      <c r="K66" s="124"/>
      <c r="L66" s="124"/>
      <c r="M66" s="124"/>
      <c r="R66" s="3"/>
    </row>
    <row r="67" spans="1:18" s="166" customFormat="1" ht="15" thickBot="1" x14ac:dyDescent="0.4">
      <c r="B67" s="300" t="s">
        <v>547</v>
      </c>
      <c r="C67" s="301"/>
      <c r="D67" s="301"/>
      <c r="E67" s="301"/>
      <c r="F67" s="301"/>
      <c r="G67" s="301"/>
      <c r="H67" s="302"/>
      <c r="I67" s="186"/>
      <c r="J67" s="168"/>
      <c r="K67" s="186"/>
      <c r="L67" s="186"/>
      <c r="M67" s="186"/>
    </row>
    <row r="68" spans="1:18" x14ac:dyDescent="0.35">
      <c r="B68" s="163"/>
      <c r="C68" s="163"/>
      <c r="D68" s="163"/>
      <c r="E68" s="163"/>
      <c r="F68" s="163"/>
      <c r="G68" s="163"/>
      <c r="H68" s="163"/>
      <c r="I68" s="183"/>
      <c r="J68" s="183"/>
      <c r="K68" s="183"/>
      <c r="L68" s="183"/>
      <c r="M68" s="183"/>
      <c r="R68" s="187"/>
    </row>
    <row r="69" spans="1:18" x14ac:dyDescent="0.35">
      <c r="B69" s="169" t="s">
        <v>476</v>
      </c>
      <c r="C69" s="169" t="s">
        <v>432</v>
      </c>
      <c r="D69" s="169" t="s">
        <v>477</v>
      </c>
      <c r="E69" s="293" t="s">
        <v>478</v>
      </c>
      <c r="F69" s="293"/>
      <c r="G69" s="293"/>
      <c r="H69" s="293"/>
      <c r="I69" s="293"/>
      <c r="J69" s="293"/>
      <c r="K69" s="293"/>
      <c r="L69" s="293"/>
      <c r="M69" s="293"/>
    </row>
    <row r="70" spans="1:18" ht="16.5" x14ac:dyDescent="0.35">
      <c r="A70" t="s">
        <v>656</v>
      </c>
      <c r="B70" s="170" t="s">
        <v>548</v>
      </c>
      <c r="C70" s="171">
        <f>K16</f>
        <v>1.1644158642525686</v>
      </c>
      <c r="D70" s="28" t="s">
        <v>437</v>
      </c>
      <c r="E70" s="268" t="s">
        <v>546</v>
      </c>
      <c r="F70" s="269"/>
      <c r="G70" s="269"/>
      <c r="H70" s="269"/>
      <c r="I70" s="269"/>
      <c r="J70" s="269"/>
      <c r="K70" s="269"/>
      <c r="L70" s="269"/>
      <c r="M70" s="270"/>
      <c r="R70" s="3"/>
    </row>
    <row r="71" spans="1:18" ht="16.5" x14ac:dyDescent="0.35">
      <c r="A71" t="s">
        <v>656</v>
      </c>
      <c r="B71" s="172" t="s">
        <v>549</v>
      </c>
      <c r="C71" s="171">
        <f>'Escenario 3'!C132/P</f>
        <v>2.5875908094501527</v>
      </c>
      <c r="D71" s="28" t="s">
        <v>439</v>
      </c>
      <c r="E71" s="268" t="s">
        <v>486</v>
      </c>
      <c r="F71" s="269"/>
      <c r="G71" s="269"/>
      <c r="H71" s="269"/>
      <c r="I71" s="269"/>
      <c r="J71" s="269"/>
      <c r="K71" s="269"/>
      <c r="L71" s="269"/>
      <c r="M71" s="270"/>
      <c r="R71" s="3"/>
    </row>
    <row r="72" spans="1:18" ht="16.5" x14ac:dyDescent="0.35">
      <c r="A72" t="s">
        <v>656</v>
      </c>
      <c r="B72" s="172" t="s">
        <v>550</v>
      </c>
      <c r="C72" s="171">
        <f>('Escenario 3'!C162*8)/(1000*P)</f>
        <v>1.5165865563301975E-2</v>
      </c>
      <c r="D72" s="28" t="s">
        <v>439</v>
      </c>
      <c r="E72" s="268" t="s">
        <v>486</v>
      </c>
      <c r="F72" s="269"/>
      <c r="G72" s="269"/>
      <c r="H72" s="269"/>
      <c r="I72" s="269"/>
      <c r="J72" s="269"/>
      <c r="K72" s="269"/>
      <c r="L72" s="269"/>
      <c r="M72" s="270"/>
      <c r="R72" s="3"/>
    </row>
    <row r="73" spans="1:18" x14ac:dyDescent="0.35">
      <c r="B73" s="176" t="s">
        <v>542</v>
      </c>
      <c r="C73" s="176" t="s">
        <v>432</v>
      </c>
      <c r="D73" s="176" t="s">
        <v>477</v>
      </c>
      <c r="E73" s="289" t="s">
        <v>478</v>
      </c>
      <c r="F73" s="290"/>
      <c r="G73" s="290"/>
      <c r="H73" s="290"/>
      <c r="I73" s="290"/>
      <c r="J73" s="290"/>
      <c r="K73" s="290"/>
      <c r="L73" s="290"/>
      <c r="M73" s="291"/>
      <c r="R73" s="3"/>
    </row>
    <row r="74" spans="1:18" ht="16.5" x14ac:dyDescent="0.35">
      <c r="A74" t="s">
        <v>656</v>
      </c>
      <c r="B74" s="177" t="s">
        <v>551</v>
      </c>
      <c r="C74" s="171">
        <f>L16</f>
        <v>1.1644158642525686</v>
      </c>
      <c r="D74" s="28" t="s">
        <v>437</v>
      </c>
      <c r="E74" s="268" t="s">
        <v>552</v>
      </c>
      <c r="F74" s="269"/>
      <c r="G74" s="269"/>
      <c r="H74" s="269"/>
      <c r="I74" s="269"/>
      <c r="J74" s="269"/>
      <c r="K74" s="269"/>
      <c r="L74" s="269"/>
      <c r="M74" s="270"/>
      <c r="R74" s="3"/>
    </row>
    <row r="75" spans="1:18" ht="15" thickBot="1" x14ac:dyDescent="0.4">
      <c r="B75" s="124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</row>
    <row r="76" spans="1:18" s="166" customFormat="1" ht="15" thickBot="1" x14ac:dyDescent="0.4">
      <c r="B76" s="300" t="s">
        <v>589</v>
      </c>
      <c r="C76" s="301"/>
      <c r="D76" s="301"/>
      <c r="E76" s="301"/>
      <c r="F76" s="301"/>
      <c r="G76" s="301"/>
      <c r="H76" s="302"/>
      <c r="I76" s="186"/>
      <c r="J76" s="168"/>
      <c r="K76" s="186"/>
      <c r="L76" s="186"/>
      <c r="M76" s="186"/>
    </row>
    <row r="78" spans="1:18" x14ac:dyDescent="0.35">
      <c r="B78" s="169" t="s">
        <v>476</v>
      </c>
      <c r="C78" s="169" t="s">
        <v>432</v>
      </c>
      <c r="D78" s="169" t="s">
        <v>477</v>
      </c>
      <c r="E78" s="293" t="s">
        <v>478</v>
      </c>
      <c r="F78" s="293"/>
      <c r="G78" s="293"/>
      <c r="H78" s="293"/>
      <c r="I78" s="293"/>
      <c r="J78" s="293"/>
      <c r="K78" s="293"/>
      <c r="L78" s="293"/>
      <c r="M78" s="293"/>
    </row>
    <row r="79" spans="1:18" ht="16.5" x14ac:dyDescent="0.35">
      <c r="A79" t="s">
        <v>656</v>
      </c>
      <c r="B79" s="170" t="s">
        <v>551</v>
      </c>
      <c r="C79" s="171">
        <f>L16</f>
        <v>1.1644158642525686</v>
      </c>
      <c r="D79" s="28" t="s">
        <v>437</v>
      </c>
      <c r="E79" s="268" t="s">
        <v>552</v>
      </c>
      <c r="F79" s="269"/>
      <c r="G79" s="269"/>
      <c r="H79" s="269"/>
      <c r="I79" s="269"/>
      <c r="J79" s="269"/>
      <c r="K79" s="269"/>
      <c r="L79" s="269"/>
      <c r="M79" s="270"/>
    </row>
    <row r="80" spans="1:18" ht="16.5" x14ac:dyDescent="0.35">
      <c r="A80" t="s">
        <v>656</v>
      </c>
      <c r="B80" s="172" t="s">
        <v>485</v>
      </c>
      <c r="C80" s="171">
        <f>'Escenario 3'!$C$125/P</f>
        <v>1.7730172226352447</v>
      </c>
      <c r="D80" s="28" t="s">
        <v>439</v>
      </c>
      <c r="E80" s="268" t="s">
        <v>486</v>
      </c>
      <c r="F80" s="269"/>
      <c r="G80" s="269"/>
      <c r="H80" s="269"/>
      <c r="I80" s="269"/>
      <c r="J80" s="269"/>
      <c r="K80" s="269"/>
      <c r="L80" s="269"/>
      <c r="M80" s="270"/>
    </row>
    <row r="81" spans="1:18" ht="16.5" x14ac:dyDescent="0.35">
      <c r="A81" t="s">
        <v>656</v>
      </c>
      <c r="B81" s="172" t="s">
        <v>602</v>
      </c>
      <c r="C81" s="171">
        <f>('Escenario 3'!$C$163*8)/(P*1000)</f>
        <v>1.5165865563301975E-2</v>
      </c>
      <c r="D81" s="28" t="s">
        <v>439</v>
      </c>
      <c r="E81" s="268" t="s">
        <v>486</v>
      </c>
      <c r="F81" s="269"/>
      <c r="G81" s="269"/>
      <c r="H81" s="269"/>
      <c r="I81" s="269"/>
      <c r="J81" s="269"/>
      <c r="K81" s="269"/>
      <c r="L81" s="269"/>
      <c r="M81" s="270"/>
    </row>
    <row r="82" spans="1:18" ht="16.5" x14ac:dyDescent="0.35">
      <c r="A82" t="s">
        <v>656</v>
      </c>
      <c r="B82" s="172" t="s">
        <v>297</v>
      </c>
      <c r="C82" s="171">
        <f>M18</f>
        <v>608.60135838267593</v>
      </c>
      <c r="D82" s="28" t="s">
        <v>441</v>
      </c>
      <c r="E82" s="272" t="s">
        <v>682</v>
      </c>
      <c r="F82" s="272"/>
      <c r="G82" s="272"/>
      <c r="H82" s="272"/>
      <c r="I82" s="272"/>
      <c r="J82" s="272"/>
      <c r="K82" s="272"/>
      <c r="L82" s="272"/>
      <c r="M82" s="272"/>
    </row>
    <row r="83" spans="1:18" x14ac:dyDescent="0.35">
      <c r="B83" s="176" t="s">
        <v>542</v>
      </c>
      <c r="C83" s="176" t="s">
        <v>432</v>
      </c>
      <c r="D83" s="176" t="s">
        <v>477</v>
      </c>
      <c r="E83" s="289" t="s">
        <v>478</v>
      </c>
      <c r="F83" s="290"/>
      <c r="G83" s="290"/>
      <c r="H83" s="290"/>
      <c r="I83" s="290"/>
      <c r="J83" s="290"/>
      <c r="K83" s="290"/>
      <c r="L83" s="290"/>
      <c r="M83" s="291"/>
    </row>
    <row r="84" spans="1:18" ht="16.5" x14ac:dyDescent="0.35">
      <c r="A84" t="s">
        <v>656</v>
      </c>
      <c r="B84" s="177" t="s">
        <v>591</v>
      </c>
      <c r="C84" s="171">
        <f>N16</f>
        <v>1.7730172226352447</v>
      </c>
      <c r="D84" s="28" t="s">
        <v>437</v>
      </c>
      <c r="E84" s="268" t="s">
        <v>657</v>
      </c>
      <c r="F84" s="269"/>
      <c r="G84" s="269"/>
      <c r="H84" s="269"/>
      <c r="I84" s="269"/>
      <c r="J84" s="269"/>
      <c r="K84" s="269"/>
      <c r="L84" s="269"/>
      <c r="M84" s="270"/>
    </row>
    <row r="85" spans="1:18" x14ac:dyDescent="0.35">
      <c r="B85" s="198"/>
      <c r="C85" s="198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8" x14ac:dyDescent="0.35">
      <c r="B86" s="292" t="s">
        <v>645</v>
      </c>
      <c r="C86" s="292"/>
      <c r="D86" s="292"/>
      <c r="E86" s="292"/>
      <c r="F86" s="292"/>
      <c r="G86" s="292"/>
      <c r="H86" s="292"/>
      <c r="I86" s="183"/>
      <c r="J86" s="183"/>
      <c r="K86" s="183"/>
      <c r="L86" s="183"/>
      <c r="M86" s="183"/>
    </row>
    <row r="87" spans="1:18" x14ac:dyDescent="0.35">
      <c r="B87" s="124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</row>
    <row r="88" spans="1:18" x14ac:dyDescent="0.35">
      <c r="B88" s="169" t="s">
        <v>476</v>
      </c>
      <c r="C88" s="169" t="s">
        <v>432</v>
      </c>
      <c r="D88" s="169" t="s">
        <v>477</v>
      </c>
      <c r="E88" s="293" t="s">
        <v>478</v>
      </c>
      <c r="F88" s="293"/>
      <c r="G88" s="293"/>
      <c r="H88" s="293"/>
      <c r="I88" s="293"/>
      <c r="J88" s="293"/>
      <c r="K88" s="293"/>
      <c r="L88" s="293"/>
      <c r="M88" s="293"/>
    </row>
    <row r="89" spans="1:18" ht="16.5" x14ac:dyDescent="0.35">
      <c r="A89" t="s">
        <v>656</v>
      </c>
      <c r="B89" s="172" t="s">
        <v>530</v>
      </c>
      <c r="C89" s="171">
        <f>C84</f>
        <v>1.7730172226352447</v>
      </c>
      <c r="D89" s="28" t="s">
        <v>505</v>
      </c>
      <c r="E89" s="272" t="s">
        <v>567</v>
      </c>
      <c r="F89" s="272"/>
      <c r="G89" s="272"/>
      <c r="H89" s="272"/>
      <c r="I89" s="272"/>
      <c r="J89" s="272"/>
      <c r="K89" s="272"/>
      <c r="L89" s="272"/>
      <c r="M89" s="272"/>
      <c r="N89" s="14" t="s">
        <v>651</v>
      </c>
    </row>
    <row r="90" spans="1:18" ht="15" thickBot="1" x14ac:dyDescent="0.4">
      <c r="B90" s="124"/>
      <c r="C90" s="198"/>
      <c r="E90" s="124"/>
      <c r="F90" s="124"/>
      <c r="G90" s="124"/>
      <c r="H90" s="124"/>
      <c r="I90" s="124"/>
      <c r="J90" s="124"/>
      <c r="K90" s="124"/>
      <c r="L90" s="124"/>
      <c r="M90" s="124"/>
      <c r="R90" s="3"/>
    </row>
    <row r="91" spans="1:18" s="166" customFormat="1" ht="15" thickBot="1" x14ac:dyDescent="0.4">
      <c r="B91" s="300" t="s">
        <v>590</v>
      </c>
      <c r="C91" s="301"/>
      <c r="D91" s="301"/>
      <c r="E91" s="301"/>
      <c r="F91" s="301"/>
      <c r="G91" s="301"/>
      <c r="H91" s="302"/>
      <c r="I91" s="186"/>
      <c r="J91" s="168"/>
      <c r="K91" s="186"/>
      <c r="L91" s="186"/>
      <c r="M91" s="186"/>
    </row>
    <row r="92" spans="1:18" x14ac:dyDescent="0.35">
      <c r="B92" s="124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</row>
    <row r="93" spans="1:18" x14ac:dyDescent="0.35">
      <c r="B93" s="169" t="s">
        <v>476</v>
      </c>
      <c r="C93" s="169" t="s">
        <v>432</v>
      </c>
      <c r="D93" s="169" t="s">
        <v>477</v>
      </c>
      <c r="E93" s="293" t="s">
        <v>478</v>
      </c>
      <c r="F93" s="293"/>
      <c r="G93" s="293"/>
      <c r="H93" s="293"/>
      <c r="I93" s="293"/>
      <c r="J93" s="293"/>
      <c r="K93" s="293"/>
      <c r="L93" s="293"/>
      <c r="M93" s="293"/>
    </row>
    <row r="94" spans="1:18" ht="16.5" x14ac:dyDescent="0.35">
      <c r="A94" t="s">
        <v>656</v>
      </c>
      <c r="B94" s="170" t="s">
        <v>591</v>
      </c>
      <c r="C94" s="171">
        <f>N16</f>
        <v>1.7730172226352447</v>
      </c>
      <c r="D94" s="28" t="s">
        <v>437</v>
      </c>
      <c r="E94" s="268" t="s">
        <v>657</v>
      </c>
      <c r="F94" s="269"/>
      <c r="G94" s="269"/>
      <c r="H94" s="269"/>
      <c r="I94" s="269"/>
      <c r="J94" s="269"/>
      <c r="K94" s="269"/>
      <c r="L94" s="269"/>
      <c r="M94" s="270"/>
    </row>
    <row r="95" spans="1:18" ht="16.5" x14ac:dyDescent="0.35">
      <c r="A95" t="s">
        <v>656</v>
      </c>
      <c r="B95" s="172" t="s">
        <v>540</v>
      </c>
      <c r="C95" s="171">
        <f>('Escenario 3'!O28*'Escenario 3'!C142)/P</f>
        <v>0.35460344452704901</v>
      </c>
      <c r="D95" s="28" t="s">
        <v>439</v>
      </c>
      <c r="E95" s="268" t="s">
        <v>486</v>
      </c>
      <c r="F95" s="269"/>
      <c r="G95" s="269"/>
      <c r="H95" s="269"/>
      <c r="I95" s="269"/>
      <c r="J95" s="269"/>
      <c r="K95" s="269"/>
      <c r="L95" s="269"/>
      <c r="M95" s="270"/>
    </row>
    <row r="96" spans="1:18" ht="16.5" x14ac:dyDescent="0.35">
      <c r="A96" t="s">
        <v>656</v>
      </c>
      <c r="B96" s="172" t="s">
        <v>603</v>
      </c>
      <c r="C96" s="171">
        <f>(('Escenario 3'!C164+'Escenario 3'!C166)*8)/(P*1000)</f>
        <v>3.0119882552589048E-2</v>
      </c>
      <c r="D96" s="28" t="s">
        <v>439</v>
      </c>
      <c r="E96" s="268" t="s">
        <v>486</v>
      </c>
      <c r="F96" s="269"/>
      <c r="G96" s="269"/>
      <c r="H96" s="269"/>
      <c r="I96" s="269"/>
      <c r="J96" s="269"/>
      <c r="K96" s="269"/>
      <c r="L96" s="269"/>
      <c r="M96" s="270"/>
    </row>
    <row r="97" spans="1:18" x14ac:dyDescent="0.35">
      <c r="B97" s="176" t="s">
        <v>542</v>
      </c>
      <c r="C97" s="176" t="s">
        <v>432</v>
      </c>
      <c r="D97" s="176" t="s">
        <v>477</v>
      </c>
      <c r="E97" s="289" t="s">
        <v>478</v>
      </c>
      <c r="F97" s="290"/>
      <c r="G97" s="290"/>
      <c r="H97" s="290"/>
      <c r="I97" s="290"/>
      <c r="J97" s="290"/>
      <c r="K97" s="290"/>
      <c r="L97" s="290"/>
      <c r="M97" s="291"/>
      <c r="N97" s="176" t="s">
        <v>606</v>
      </c>
    </row>
    <row r="98" spans="1:18" ht="16.5" x14ac:dyDescent="0.35">
      <c r="A98" t="s">
        <v>656</v>
      </c>
      <c r="B98" s="177" t="s">
        <v>592</v>
      </c>
      <c r="C98" s="171">
        <f>O16</f>
        <v>0.77744165869929849</v>
      </c>
      <c r="D98" s="28" t="s">
        <v>437</v>
      </c>
      <c r="E98" s="268" t="s">
        <v>652</v>
      </c>
      <c r="F98" s="269"/>
      <c r="G98" s="269"/>
      <c r="H98" s="269"/>
      <c r="I98" s="269"/>
      <c r="J98" s="269"/>
      <c r="K98" s="269"/>
      <c r="L98" s="269"/>
      <c r="M98" s="270"/>
      <c r="N98" s="74">
        <f>'Escenario 3'!I189</f>
        <v>0.37764466645813194</v>
      </c>
      <c r="R98" s="216"/>
    </row>
    <row r="99" spans="1:18" ht="16.5" x14ac:dyDescent="0.35">
      <c r="A99" t="s">
        <v>656</v>
      </c>
      <c r="B99" s="177" t="s">
        <v>593</v>
      </c>
      <c r="C99" s="171">
        <f>P16</f>
        <v>0.99557556393594626</v>
      </c>
      <c r="D99" s="28" t="s">
        <v>437</v>
      </c>
      <c r="E99" s="268" t="s">
        <v>653</v>
      </c>
      <c r="F99" s="269"/>
      <c r="G99" s="269"/>
      <c r="H99" s="269"/>
      <c r="I99" s="269"/>
      <c r="J99" s="269"/>
      <c r="K99" s="269"/>
      <c r="L99" s="269"/>
      <c r="M99" s="270"/>
      <c r="N99" s="99">
        <f>1-N98</f>
        <v>0.62235533354186812</v>
      </c>
      <c r="R99" s="3"/>
    </row>
    <row r="100" spans="1:18" ht="15" thickBot="1" x14ac:dyDescent="0.4">
      <c r="B100" s="124"/>
      <c r="C100" s="198"/>
      <c r="E100" s="124"/>
      <c r="F100" s="124"/>
      <c r="G100" s="124"/>
      <c r="H100" s="124"/>
      <c r="I100" s="124"/>
      <c r="J100" s="124"/>
      <c r="K100" s="124"/>
      <c r="L100" s="124"/>
      <c r="M100" s="124"/>
      <c r="R100" s="3"/>
    </row>
    <row r="101" spans="1:18" s="166" customFormat="1" ht="15" thickBot="1" x14ac:dyDescent="0.4">
      <c r="B101" s="300" t="s">
        <v>561</v>
      </c>
      <c r="C101" s="301"/>
      <c r="D101" s="301"/>
      <c r="E101" s="301"/>
      <c r="F101" s="301"/>
      <c r="G101" s="301"/>
      <c r="H101" s="302"/>
      <c r="I101" s="186"/>
      <c r="J101" s="168"/>
      <c r="K101" s="186"/>
      <c r="L101" s="186"/>
      <c r="M101" s="186"/>
    </row>
    <row r="102" spans="1:18" x14ac:dyDescent="0.35">
      <c r="B102" s="124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</row>
    <row r="103" spans="1:18" x14ac:dyDescent="0.35">
      <c r="B103" s="169" t="s">
        <v>476</v>
      </c>
      <c r="C103" s="169" t="s">
        <v>432</v>
      </c>
      <c r="D103" s="169" t="s">
        <v>477</v>
      </c>
      <c r="E103" s="293" t="s">
        <v>478</v>
      </c>
      <c r="F103" s="293"/>
      <c r="G103" s="293"/>
      <c r="H103" s="293"/>
      <c r="I103" s="293"/>
      <c r="J103" s="293"/>
      <c r="K103" s="293"/>
      <c r="L103" s="293"/>
      <c r="M103" s="293"/>
    </row>
    <row r="104" spans="1:18" ht="16.5" x14ac:dyDescent="0.35">
      <c r="A104" t="s">
        <v>656</v>
      </c>
      <c r="B104" s="170" t="s">
        <v>594</v>
      </c>
      <c r="C104" s="171">
        <f>P16</f>
        <v>0.99557556393594626</v>
      </c>
      <c r="D104" s="28" t="s">
        <v>437</v>
      </c>
      <c r="E104" s="268" t="s">
        <v>653</v>
      </c>
      <c r="F104" s="269"/>
      <c r="G104" s="269"/>
      <c r="H104" s="269"/>
      <c r="I104" s="269"/>
      <c r="J104" s="269"/>
      <c r="K104" s="269"/>
      <c r="L104" s="269"/>
      <c r="M104" s="270"/>
    </row>
    <row r="105" spans="1:18" ht="16.5" x14ac:dyDescent="0.35">
      <c r="A105" t="s">
        <v>656</v>
      </c>
      <c r="B105" s="172" t="s">
        <v>485</v>
      </c>
      <c r="C105" s="171">
        <f>'Escenario 3'!$C$128/P</f>
        <v>4</v>
      </c>
      <c r="D105" s="28" t="s">
        <v>439</v>
      </c>
      <c r="E105" s="268" t="s">
        <v>486</v>
      </c>
      <c r="F105" s="269"/>
      <c r="G105" s="269"/>
      <c r="H105" s="269"/>
      <c r="I105" s="269"/>
      <c r="J105" s="269"/>
      <c r="K105" s="269"/>
      <c r="L105" s="269"/>
      <c r="M105" s="270"/>
    </row>
    <row r="106" spans="1:18" ht="16.5" x14ac:dyDescent="0.35">
      <c r="A106" t="s">
        <v>656</v>
      </c>
      <c r="B106" s="172" t="s">
        <v>604</v>
      </c>
      <c r="C106" s="171">
        <f>('Escenario 3'!$C$165*8)/(P*1000)</f>
        <v>1.5165865563301975E-2</v>
      </c>
      <c r="D106" s="28" t="s">
        <v>439</v>
      </c>
      <c r="E106" s="268" t="s">
        <v>486</v>
      </c>
      <c r="F106" s="269"/>
      <c r="G106" s="269"/>
      <c r="H106" s="269"/>
      <c r="I106" s="269"/>
      <c r="J106" s="269"/>
      <c r="K106" s="269"/>
      <c r="L106" s="269"/>
      <c r="M106" s="270"/>
    </row>
    <row r="107" spans="1:18" ht="16.5" x14ac:dyDescent="0.35">
      <c r="A107" t="s">
        <v>656</v>
      </c>
      <c r="B107" s="172" t="s">
        <v>242</v>
      </c>
      <c r="C107" s="171">
        <f>'Escenario 3'!$Y$87/P</f>
        <v>23.222222222222218</v>
      </c>
      <c r="D107" s="28" t="s">
        <v>439</v>
      </c>
      <c r="E107" s="272" t="s">
        <v>562</v>
      </c>
      <c r="F107" s="272"/>
      <c r="G107" s="272"/>
      <c r="H107" s="272"/>
      <c r="I107" s="272"/>
      <c r="J107" s="272"/>
      <c r="K107" s="272"/>
      <c r="L107" s="272"/>
      <c r="M107" s="272"/>
      <c r="N107" s="3"/>
    </row>
    <row r="108" spans="1:18" ht="16.5" x14ac:dyDescent="0.35">
      <c r="A108" t="s">
        <v>656</v>
      </c>
      <c r="B108" s="172" t="s">
        <v>289</v>
      </c>
      <c r="C108" s="171">
        <f>C8</f>
        <v>0.39823022557437848</v>
      </c>
      <c r="D108" s="28" t="s">
        <v>441</v>
      </c>
      <c r="E108" s="272" t="s">
        <v>563</v>
      </c>
      <c r="F108" s="272"/>
      <c r="G108" s="272"/>
      <c r="H108" s="272"/>
      <c r="I108" s="272"/>
      <c r="J108" s="272"/>
      <c r="K108" s="272"/>
      <c r="L108" s="272"/>
      <c r="M108" s="272"/>
    </row>
    <row r="109" spans="1:18" ht="16.5" x14ac:dyDescent="0.35">
      <c r="A109" t="s">
        <v>656</v>
      </c>
      <c r="B109" s="172" t="s">
        <v>292</v>
      </c>
      <c r="C109" s="171">
        <f>C9</f>
        <v>4.4244360640536895</v>
      </c>
      <c r="D109" s="28" t="s">
        <v>441</v>
      </c>
      <c r="E109" s="272" t="s">
        <v>564</v>
      </c>
      <c r="F109" s="272"/>
      <c r="G109" s="272"/>
      <c r="H109" s="272"/>
      <c r="I109" s="272"/>
      <c r="J109" s="272"/>
      <c r="K109" s="272"/>
      <c r="L109" s="272"/>
      <c r="M109" s="272"/>
    </row>
    <row r="110" spans="1:18" x14ac:dyDescent="0.35">
      <c r="B110" s="176" t="s">
        <v>542</v>
      </c>
      <c r="C110" s="176" t="s">
        <v>432</v>
      </c>
      <c r="D110" s="176" t="s">
        <v>477</v>
      </c>
      <c r="E110" s="289" t="s">
        <v>478</v>
      </c>
      <c r="F110" s="290"/>
      <c r="G110" s="290"/>
      <c r="H110" s="290"/>
      <c r="I110" s="290"/>
      <c r="J110" s="290"/>
      <c r="K110" s="290"/>
      <c r="L110" s="290"/>
      <c r="M110" s="291"/>
    </row>
    <row r="111" spans="1:18" ht="16.5" x14ac:dyDescent="0.35">
      <c r="A111" t="s">
        <v>656</v>
      </c>
      <c r="B111" s="177" t="s">
        <v>607</v>
      </c>
      <c r="C111" s="171">
        <f>Q16</f>
        <v>1</v>
      </c>
      <c r="D111" s="28" t="s">
        <v>437</v>
      </c>
      <c r="E111" s="268" t="s">
        <v>654</v>
      </c>
      <c r="F111" s="269"/>
      <c r="G111" s="269"/>
      <c r="H111" s="269"/>
      <c r="I111" s="269"/>
      <c r="J111" s="269"/>
      <c r="K111" s="269"/>
      <c r="L111" s="269"/>
      <c r="M111" s="270"/>
    </row>
    <row r="112" spans="1:18" x14ac:dyDescent="0.35">
      <c r="A112" s="182"/>
      <c r="B112" s="188" t="s">
        <v>565</v>
      </c>
      <c r="C112" s="188" t="s">
        <v>432</v>
      </c>
      <c r="D112" s="188" t="s">
        <v>477</v>
      </c>
      <c r="E112" s="294" t="s">
        <v>478</v>
      </c>
      <c r="F112" s="295"/>
      <c r="G112" s="295"/>
      <c r="H112" s="295"/>
      <c r="I112" s="295"/>
      <c r="J112" s="295"/>
      <c r="K112" s="295"/>
      <c r="L112" s="295"/>
      <c r="M112" s="296"/>
      <c r="N112" s="3"/>
    </row>
    <row r="113" spans="1:14" ht="16.5" x14ac:dyDescent="0.35">
      <c r="B113" s="189" t="s">
        <v>79</v>
      </c>
      <c r="C113" s="190">
        <f>Q22</f>
        <v>2.2417652383889157</v>
      </c>
      <c r="D113" s="28" t="s">
        <v>441</v>
      </c>
      <c r="E113" s="268" t="s">
        <v>498</v>
      </c>
      <c r="F113" s="269"/>
      <c r="G113" s="269"/>
      <c r="H113" s="269"/>
      <c r="I113" s="269"/>
      <c r="J113" s="269"/>
      <c r="K113" s="269"/>
      <c r="L113" s="269"/>
      <c r="M113" s="270"/>
    </row>
    <row r="114" spans="1:14" ht="16.5" x14ac:dyDescent="0.35">
      <c r="B114" s="189" t="s">
        <v>83</v>
      </c>
      <c r="C114" s="190">
        <f>Q24</f>
        <v>4.487314520723328</v>
      </c>
      <c r="D114" s="28" t="s">
        <v>441</v>
      </c>
      <c r="E114" s="268" t="s">
        <v>499</v>
      </c>
      <c r="F114" s="269"/>
      <c r="G114" s="269"/>
      <c r="H114" s="269"/>
      <c r="I114" s="269"/>
      <c r="J114" s="269"/>
      <c r="K114" s="269"/>
      <c r="L114" s="269"/>
      <c r="M114" s="270"/>
    </row>
    <row r="115" spans="1:14" x14ac:dyDescent="0.35">
      <c r="B115" s="124"/>
      <c r="C115" s="191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4"/>
    </row>
    <row r="116" spans="1:14" x14ac:dyDescent="0.35">
      <c r="B116" s="292" t="s">
        <v>566</v>
      </c>
      <c r="C116" s="292"/>
      <c r="D116" s="292"/>
      <c r="E116" s="292"/>
      <c r="F116" s="292"/>
      <c r="G116" s="292"/>
      <c r="H116" s="292"/>
      <c r="I116" s="183"/>
      <c r="J116" s="183"/>
      <c r="K116" s="183"/>
      <c r="L116" s="183"/>
      <c r="M116" s="183"/>
      <c r="N116" s="14"/>
    </row>
    <row r="117" spans="1:14" x14ac:dyDescent="0.35">
      <c r="B117" s="124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4"/>
    </row>
    <row r="118" spans="1:14" x14ac:dyDescent="0.35">
      <c r="B118" s="169" t="s">
        <v>476</v>
      </c>
      <c r="C118" s="169" t="s">
        <v>432</v>
      </c>
      <c r="D118" s="169" t="s">
        <v>477</v>
      </c>
      <c r="E118" s="293" t="s">
        <v>478</v>
      </c>
      <c r="F118" s="293"/>
      <c r="G118" s="293"/>
      <c r="H118" s="293"/>
      <c r="I118" s="293"/>
      <c r="J118" s="293"/>
      <c r="K118" s="293"/>
      <c r="L118" s="293"/>
      <c r="M118" s="293"/>
      <c r="N118" s="14"/>
    </row>
    <row r="119" spans="1:14" ht="16.5" x14ac:dyDescent="0.35">
      <c r="A119" t="s">
        <v>656</v>
      </c>
      <c r="B119" s="172" t="s">
        <v>530</v>
      </c>
      <c r="C119" s="171">
        <f>C111</f>
        <v>1</v>
      </c>
      <c r="D119" s="28" t="s">
        <v>505</v>
      </c>
      <c r="E119" s="272" t="s">
        <v>567</v>
      </c>
      <c r="F119" s="272"/>
      <c r="G119" s="272"/>
      <c r="H119" s="272"/>
      <c r="I119" s="272"/>
      <c r="J119" s="272"/>
      <c r="K119" s="272"/>
      <c r="L119" s="272"/>
      <c r="M119" s="272"/>
      <c r="N119" s="14" t="s">
        <v>651</v>
      </c>
    </row>
    <row r="120" spans="1:14" ht="15" thickBot="1" x14ac:dyDescent="0.4">
      <c r="B120" s="198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4"/>
    </row>
    <row r="121" spans="1:14" s="166" customFormat="1" ht="15" thickBot="1" x14ac:dyDescent="0.4">
      <c r="A121" s="192"/>
      <c r="B121" s="300" t="s">
        <v>595</v>
      </c>
      <c r="C121" s="301"/>
      <c r="D121" s="301"/>
      <c r="E121" s="301"/>
      <c r="F121" s="301"/>
      <c r="G121" s="301"/>
      <c r="H121" s="302"/>
      <c r="J121" s="193"/>
      <c r="N121" s="194"/>
    </row>
    <row r="122" spans="1:14" x14ac:dyDescent="0.35">
      <c r="B122" s="198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4"/>
    </row>
    <row r="123" spans="1:14" x14ac:dyDescent="0.35">
      <c r="B123" s="169" t="s">
        <v>476</v>
      </c>
      <c r="C123" s="169" t="s">
        <v>432</v>
      </c>
      <c r="D123" s="169" t="s">
        <v>477</v>
      </c>
      <c r="E123" s="293" t="s">
        <v>478</v>
      </c>
      <c r="F123" s="293"/>
      <c r="G123" s="293"/>
      <c r="H123" s="293"/>
      <c r="I123" s="293"/>
      <c r="J123" s="293"/>
      <c r="K123" s="293"/>
      <c r="L123" s="293"/>
      <c r="M123" s="293"/>
      <c r="N123" s="14"/>
    </row>
    <row r="124" spans="1:14" ht="16.5" x14ac:dyDescent="0.35">
      <c r="A124" t="s">
        <v>656</v>
      </c>
      <c r="B124" s="170" t="s">
        <v>596</v>
      </c>
      <c r="C124" s="171">
        <f>O16</f>
        <v>0.77744165869929849</v>
      </c>
      <c r="D124" s="28" t="s">
        <v>437</v>
      </c>
      <c r="E124" s="268" t="s">
        <v>652</v>
      </c>
      <c r="F124" s="269"/>
      <c r="G124" s="269"/>
      <c r="H124" s="269"/>
      <c r="I124" s="269"/>
      <c r="J124" s="269"/>
      <c r="K124" s="269"/>
      <c r="L124" s="269"/>
      <c r="M124" s="270"/>
      <c r="N124" s="14"/>
    </row>
    <row r="125" spans="1:14" ht="16.5" x14ac:dyDescent="0.35">
      <c r="A125" t="s">
        <v>656</v>
      </c>
      <c r="B125" s="172" t="s">
        <v>608</v>
      </c>
      <c r="C125" s="171">
        <f>(('Escenario 3'!$C$164+'Escenario 3'!$C$167)*8)/(P*1000)</f>
        <v>3.0119882552589048E-2</v>
      </c>
      <c r="D125" s="28" t="s">
        <v>439</v>
      </c>
      <c r="E125" s="268" t="s">
        <v>486</v>
      </c>
      <c r="F125" s="269"/>
      <c r="G125" s="269"/>
      <c r="H125" s="269"/>
      <c r="I125" s="269"/>
      <c r="J125" s="269"/>
      <c r="K125" s="269"/>
      <c r="L125" s="269"/>
      <c r="M125" s="270"/>
      <c r="N125" s="14"/>
    </row>
    <row r="126" spans="1:14" ht="16.5" x14ac:dyDescent="0.35">
      <c r="A126" t="s">
        <v>656</v>
      </c>
      <c r="B126" s="172" t="s">
        <v>242</v>
      </c>
      <c r="C126" s="171">
        <f>'Escenario 3'!$Y$72/P</f>
        <v>60.029293852401111</v>
      </c>
      <c r="D126" s="28" t="s">
        <v>439</v>
      </c>
      <c r="E126" s="272" t="s">
        <v>562</v>
      </c>
      <c r="F126" s="272"/>
      <c r="G126" s="272"/>
      <c r="H126" s="272"/>
      <c r="I126" s="272"/>
      <c r="J126" s="272"/>
      <c r="K126" s="272"/>
      <c r="L126" s="272"/>
      <c r="M126" s="272"/>
      <c r="N126" s="14"/>
    </row>
    <row r="127" spans="1:14" x14ac:dyDescent="0.35">
      <c r="B127" s="176" t="s">
        <v>542</v>
      </c>
      <c r="C127" s="176" t="s">
        <v>432</v>
      </c>
      <c r="D127" s="176" t="s">
        <v>477</v>
      </c>
      <c r="E127" s="289" t="s">
        <v>478</v>
      </c>
      <c r="F127" s="290"/>
      <c r="G127" s="290"/>
      <c r="H127" s="290"/>
      <c r="I127" s="290"/>
      <c r="J127" s="290"/>
      <c r="K127" s="290"/>
      <c r="L127" s="290"/>
      <c r="M127" s="291"/>
      <c r="N127" s="14"/>
    </row>
    <row r="128" spans="1:14" ht="16.5" x14ac:dyDescent="0.35">
      <c r="A128" t="s">
        <v>656</v>
      </c>
      <c r="B128" s="177" t="s">
        <v>609</v>
      </c>
      <c r="C128" s="171">
        <f>S16</f>
        <v>0.11235860144605425</v>
      </c>
      <c r="D128" s="28" t="s">
        <v>437</v>
      </c>
      <c r="E128" s="268" t="s">
        <v>655</v>
      </c>
      <c r="F128" s="269"/>
      <c r="G128" s="269"/>
      <c r="H128" s="269"/>
      <c r="I128" s="269"/>
      <c r="J128" s="269"/>
      <c r="K128" s="269"/>
      <c r="L128" s="269"/>
      <c r="M128" s="270"/>
      <c r="N128" s="14"/>
    </row>
    <row r="129" spans="1:14" ht="16.5" x14ac:dyDescent="0.35">
      <c r="A129" t="s">
        <v>656</v>
      </c>
      <c r="B129" s="64" t="s">
        <v>284</v>
      </c>
      <c r="C129" s="171">
        <f>R17</f>
        <v>403.81013280390016</v>
      </c>
      <c r="D129" s="28" t="s">
        <v>441</v>
      </c>
      <c r="E129" s="268" t="s">
        <v>284</v>
      </c>
      <c r="F129" s="269"/>
      <c r="G129" s="269"/>
      <c r="H129" s="269"/>
      <c r="I129" s="269"/>
      <c r="J129" s="269"/>
      <c r="K129" s="269"/>
      <c r="L129" s="269"/>
      <c r="M129" s="270"/>
      <c r="N129" s="14"/>
    </row>
    <row r="130" spans="1:14" ht="16.5" x14ac:dyDescent="0.35">
      <c r="A130" t="s">
        <v>656</v>
      </c>
      <c r="B130" s="64" t="s">
        <v>297</v>
      </c>
      <c r="C130" s="175">
        <f>R18</f>
        <v>251.06134399357398</v>
      </c>
      <c r="D130" s="28" t="s">
        <v>441</v>
      </c>
      <c r="E130" s="268" t="s">
        <v>297</v>
      </c>
      <c r="F130" s="269"/>
      <c r="G130" s="269"/>
      <c r="H130" s="269"/>
      <c r="I130" s="269"/>
      <c r="J130" s="269"/>
      <c r="K130" s="269"/>
      <c r="L130" s="269"/>
      <c r="M130" s="270"/>
      <c r="N130" s="14"/>
    </row>
    <row r="131" spans="1:14" x14ac:dyDescent="0.35">
      <c r="B131" s="198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4"/>
    </row>
    <row r="132" spans="1:14" x14ac:dyDescent="0.35">
      <c r="B132" s="292" t="s">
        <v>566</v>
      </c>
      <c r="C132" s="292"/>
      <c r="D132" s="292"/>
      <c r="E132" s="292"/>
      <c r="F132" s="292"/>
      <c r="G132" s="292"/>
      <c r="H132" s="292"/>
      <c r="I132" s="183"/>
      <c r="J132" s="183"/>
      <c r="K132" s="183"/>
      <c r="L132" s="183"/>
      <c r="M132" s="183"/>
      <c r="N132" s="14"/>
    </row>
    <row r="133" spans="1:14" x14ac:dyDescent="0.35">
      <c r="B133" s="124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4"/>
    </row>
    <row r="134" spans="1:14" x14ac:dyDescent="0.35">
      <c r="B134" s="169" t="s">
        <v>476</v>
      </c>
      <c r="C134" s="169" t="s">
        <v>432</v>
      </c>
      <c r="D134" s="169" t="s">
        <v>477</v>
      </c>
      <c r="E134" s="293" t="s">
        <v>478</v>
      </c>
      <c r="F134" s="293"/>
      <c r="G134" s="293"/>
      <c r="H134" s="293"/>
      <c r="I134" s="293"/>
      <c r="J134" s="293"/>
      <c r="K134" s="293"/>
      <c r="L134" s="293"/>
      <c r="M134" s="293"/>
      <c r="N134" s="14"/>
    </row>
    <row r="135" spans="1:14" ht="16.5" x14ac:dyDescent="0.35">
      <c r="B135" s="172" t="s">
        <v>530</v>
      </c>
      <c r="C135" s="171">
        <f>C128</f>
        <v>0.11235860144605425</v>
      </c>
      <c r="D135" s="28" t="s">
        <v>505</v>
      </c>
      <c r="E135" s="272" t="s">
        <v>567</v>
      </c>
      <c r="F135" s="272"/>
      <c r="G135" s="272"/>
      <c r="H135" s="272"/>
      <c r="I135" s="272"/>
      <c r="J135" s="272"/>
      <c r="K135" s="272"/>
      <c r="L135" s="272"/>
      <c r="M135" s="272"/>
      <c r="N135" s="14" t="s">
        <v>651</v>
      </c>
    </row>
    <row r="136" spans="1:14" ht="15" thickBot="1" x14ac:dyDescent="0.4">
      <c r="B136" s="124"/>
      <c r="C136" s="191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4"/>
    </row>
    <row r="137" spans="1:14" s="166" customFormat="1" ht="15" thickBot="1" x14ac:dyDescent="0.4">
      <c r="A137" s="192"/>
      <c r="B137" s="300" t="s">
        <v>568</v>
      </c>
      <c r="C137" s="301"/>
      <c r="D137" s="301"/>
      <c r="E137" s="301"/>
      <c r="F137" s="301"/>
      <c r="G137" s="301"/>
      <c r="H137" s="302"/>
      <c r="J137" s="193"/>
      <c r="N137" s="194"/>
    </row>
    <row r="138" spans="1:14" x14ac:dyDescent="0.35">
      <c r="N138" s="14"/>
    </row>
    <row r="139" spans="1:14" x14ac:dyDescent="0.35">
      <c r="B139" s="178" t="s">
        <v>569</v>
      </c>
      <c r="C139" s="178" t="s">
        <v>432</v>
      </c>
      <c r="D139" s="178" t="s">
        <v>477</v>
      </c>
      <c r="E139" s="303" t="s">
        <v>478</v>
      </c>
      <c r="F139" s="304"/>
      <c r="G139" s="304"/>
      <c r="H139" s="304"/>
      <c r="I139" s="304"/>
      <c r="J139" s="304"/>
      <c r="K139" s="304"/>
      <c r="L139" s="304"/>
      <c r="M139" s="305"/>
      <c r="N139" s="14"/>
    </row>
    <row r="140" spans="1:14" ht="16.5" x14ac:dyDescent="0.35">
      <c r="B140" s="179" t="s">
        <v>448</v>
      </c>
      <c r="C140" s="175">
        <f>Calculations!N24/P</f>
        <v>29.416821833749108</v>
      </c>
      <c r="D140" s="28" t="s">
        <v>570</v>
      </c>
      <c r="E140" s="268" t="s">
        <v>571</v>
      </c>
      <c r="F140" s="269"/>
      <c r="G140" s="269"/>
      <c r="H140" s="269"/>
      <c r="I140" s="269"/>
      <c r="J140" s="269"/>
      <c r="K140" s="269"/>
      <c r="L140" s="269"/>
      <c r="M140" s="270"/>
      <c r="N140" s="14" t="s">
        <v>572</v>
      </c>
    </row>
    <row r="141" spans="1:14" ht="16.5" x14ac:dyDescent="0.35">
      <c r="B141" s="179" t="s">
        <v>443</v>
      </c>
      <c r="C141" s="190">
        <f>Calculations!N32/P</f>
        <v>1211.2376390046195</v>
      </c>
      <c r="D141" s="28" t="s">
        <v>570</v>
      </c>
      <c r="E141" s="268" t="s">
        <v>571</v>
      </c>
      <c r="F141" s="269"/>
      <c r="G141" s="269"/>
      <c r="H141" s="269"/>
      <c r="I141" s="269"/>
      <c r="J141" s="269"/>
      <c r="K141" s="269"/>
      <c r="L141" s="269"/>
      <c r="M141" s="270"/>
      <c r="N141" s="14"/>
    </row>
    <row r="142" spans="1:14" ht="16.5" x14ac:dyDescent="0.35">
      <c r="B142" s="179" t="s">
        <v>573</v>
      </c>
      <c r="C142" s="175">
        <f>Calculations!N16/P</f>
        <v>244</v>
      </c>
      <c r="D142" s="28" t="s">
        <v>570</v>
      </c>
      <c r="E142" s="268" t="s">
        <v>571</v>
      </c>
      <c r="F142" s="269"/>
      <c r="G142" s="269"/>
      <c r="H142" s="269"/>
      <c r="I142" s="269"/>
      <c r="J142" s="269"/>
      <c r="K142" s="269"/>
      <c r="L142" s="269"/>
      <c r="M142" s="270"/>
      <c r="N142" s="14" t="s">
        <v>574</v>
      </c>
    </row>
    <row r="143" spans="1:14" ht="15" thickBot="1" x14ac:dyDescent="0.4"/>
    <row r="144" spans="1:14" s="166" customFormat="1" ht="15" thickBot="1" x14ac:dyDescent="0.4">
      <c r="A144" s="192"/>
      <c r="B144" s="300" t="s">
        <v>575</v>
      </c>
      <c r="C144" s="301"/>
      <c r="D144" s="301"/>
      <c r="E144" s="301"/>
      <c r="F144" s="301"/>
      <c r="G144" s="301"/>
      <c r="H144" s="302"/>
    </row>
    <row r="146" spans="2:14" x14ac:dyDescent="0.35">
      <c r="B146" s="178" t="s">
        <v>492</v>
      </c>
      <c r="C146" s="178" t="s">
        <v>432</v>
      </c>
      <c r="D146" s="178" t="s">
        <v>477</v>
      </c>
      <c r="E146" s="303" t="s">
        <v>478</v>
      </c>
      <c r="F146" s="304"/>
      <c r="G146" s="304"/>
      <c r="H146" s="304"/>
      <c r="I146" s="304"/>
      <c r="J146" s="304"/>
      <c r="K146" s="304"/>
      <c r="L146" s="304"/>
      <c r="M146" s="305"/>
      <c r="N146" s="3"/>
    </row>
    <row r="147" spans="2:14" ht="16.5" x14ac:dyDescent="0.35">
      <c r="B147" s="180" t="s">
        <v>576</v>
      </c>
      <c r="C147" s="171">
        <f>Q22*Calculations!C47</f>
        <v>0.11208826191944579</v>
      </c>
      <c r="D147" s="28" t="s">
        <v>441</v>
      </c>
      <c r="E147" s="268" t="s">
        <v>496</v>
      </c>
      <c r="F147" s="269"/>
      <c r="G147" s="269"/>
      <c r="H147" s="269"/>
      <c r="I147" s="269"/>
      <c r="J147" s="269"/>
      <c r="K147" s="269"/>
      <c r="L147" s="269"/>
      <c r="M147" s="270"/>
    </row>
    <row r="148" spans="2:14" ht="16.5" x14ac:dyDescent="0.35">
      <c r="B148" s="180" t="s">
        <v>577</v>
      </c>
      <c r="C148" s="171">
        <f>Q22*Calculations!C48</f>
        <v>8.9670609535556625E-2</v>
      </c>
      <c r="D148" s="28" t="s">
        <v>441</v>
      </c>
      <c r="E148" s="268" t="s">
        <v>578</v>
      </c>
      <c r="F148" s="269"/>
      <c r="G148" s="269"/>
      <c r="H148" s="269"/>
      <c r="I148" s="269"/>
      <c r="J148" s="269"/>
      <c r="K148" s="269"/>
      <c r="L148" s="269"/>
      <c r="M148" s="270"/>
    </row>
    <row r="149" spans="2:14" x14ac:dyDescent="0.35">
      <c r="B149" s="178" t="s">
        <v>579</v>
      </c>
      <c r="C149" s="178" t="s">
        <v>432</v>
      </c>
      <c r="D149" s="178" t="s">
        <v>477</v>
      </c>
      <c r="E149" s="303" t="s">
        <v>478</v>
      </c>
      <c r="F149" s="304"/>
      <c r="G149" s="304"/>
      <c r="H149" s="304"/>
      <c r="I149" s="304"/>
      <c r="J149" s="304"/>
      <c r="K149" s="304"/>
      <c r="L149" s="304"/>
      <c r="M149" s="305"/>
    </row>
    <row r="150" spans="2:14" ht="16.5" x14ac:dyDescent="0.35">
      <c r="B150" s="179" t="s">
        <v>580</v>
      </c>
      <c r="C150" s="171">
        <f>$Q$22*Calculations!N47</f>
        <v>0.28918771575217012</v>
      </c>
      <c r="D150" s="28" t="s">
        <v>441</v>
      </c>
      <c r="E150" s="268" t="s">
        <v>581</v>
      </c>
      <c r="F150" s="269"/>
      <c r="G150" s="269"/>
      <c r="H150" s="269"/>
      <c r="I150" s="269"/>
      <c r="J150" s="269"/>
      <c r="K150" s="269"/>
      <c r="L150" s="269"/>
      <c r="M150" s="270"/>
    </row>
    <row r="151" spans="2:14" ht="16.5" x14ac:dyDescent="0.35">
      <c r="B151" s="179" t="s">
        <v>582</v>
      </c>
      <c r="C151" s="171">
        <f>$Q$22*Calculations!N48</f>
        <v>2.017588714550024E-3</v>
      </c>
      <c r="D151" s="28" t="s">
        <v>441</v>
      </c>
      <c r="E151" s="268" t="s">
        <v>582</v>
      </c>
      <c r="F151" s="269"/>
      <c r="G151" s="269"/>
      <c r="H151" s="269"/>
      <c r="I151" s="269"/>
      <c r="J151" s="269"/>
      <c r="K151" s="269"/>
      <c r="L151" s="269"/>
      <c r="M151" s="270"/>
    </row>
    <row r="152" spans="2:14" x14ac:dyDescent="0.35">
      <c r="B152" s="188" t="s">
        <v>565</v>
      </c>
      <c r="C152" s="188" t="s">
        <v>432</v>
      </c>
      <c r="D152" s="188" t="s">
        <v>477</v>
      </c>
      <c r="E152" s="294" t="s">
        <v>478</v>
      </c>
      <c r="F152" s="295"/>
      <c r="G152" s="295"/>
      <c r="H152" s="295"/>
      <c r="I152" s="295"/>
      <c r="J152" s="295"/>
      <c r="K152" s="295"/>
      <c r="L152" s="295"/>
      <c r="M152" s="296"/>
    </row>
    <row r="153" spans="2:14" ht="16.5" x14ac:dyDescent="0.35">
      <c r="B153" s="195" t="s">
        <v>583</v>
      </c>
      <c r="C153" s="196">
        <f>Calculations!N41</f>
        <v>6.2373670006709965</v>
      </c>
      <c r="D153" s="197" t="s">
        <v>441</v>
      </c>
      <c r="E153" s="297" t="s">
        <v>584</v>
      </c>
      <c r="F153" s="298"/>
      <c r="G153" s="298"/>
      <c r="H153" s="298"/>
      <c r="I153" s="298"/>
      <c r="J153" s="298"/>
      <c r="K153" s="298"/>
      <c r="L153" s="298"/>
      <c r="M153" s="299"/>
      <c r="N153" s="14" t="s">
        <v>585</v>
      </c>
    </row>
    <row r="154" spans="2:14" ht="16.5" x14ac:dyDescent="0.35">
      <c r="B154" s="189" t="s">
        <v>586</v>
      </c>
      <c r="C154" s="175">
        <f>Calculations!R41</f>
        <v>12.474734001341993</v>
      </c>
      <c r="D154" s="28" t="s">
        <v>441</v>
      </c>
      <c r="E154" s="268" t="s">
        <v>587</v>
      </c>
      <c r="F154" s="269"/>
      <c r="G154" s="269"/>
      <c r="H154" s="269"/>
      <c r="I154" s="269"/>
      <c r="J154" s="269"/>
      <c r="K154" s="269"/>
      <c r="L154" s="269"/>
      <c r="M154" s="270"/>
      <c r="N154" s="14"/>
    </row>
    <row r="155" spans="2:14" x14ac:dyDescent="0.35">
      <c r="B155" s="198"/>
      <c r="C155" s="198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</row>
    <row r="156" spans="2:14" x14ac:dyDescent="0.35">
      <c r="B156" s="292" t="s">
        <v>588</v>
      </c>
      <c r="C156" s="292"/>
      <c r="D156" s="292"/>
      <c r="E156" s="292"/>
      <c r="F156" s="292"/>
      <c r="G156" s="292"/>
      <c r="H156" s="292"/>
      <c r="I156" s="183"/>
      <c r="J156" s="183"/>
      <c r="K156" s="183"/>
      <c r="L156" s="183"/>
      <c r="M156" s="183"/>
    </row>
    <row r="157" spans="2:14" x14ac:dyDescent="0.35">
      <c r="B157" s="124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</row>
    <row r="158" spans="2:14" x14ac:dyDescent="0.35">
      <c r="B158" s="169" t="s">
        <v>476</v>
      </c>
      <c r="C158" s="169" t="s">
        <v>432</v>
      </c>
      <c r="D158" s="169" t="s">
        <v>477</v>
      </c>
      <c r="E158" s="293" t="s">
        <v>478</v>
      </c>
      <c r="F158" s="293"/>
      <c r="G158" s="293"/>
      <c r="H158" s="293"/>
      <c r="I158" s="293"/>
      <c r="J158" s="293"/>
      <c r="K158" s="293"/>
      <c r="L158" s="293"/>
      <c r="M158" s="293"/>
    </row>
    <row r="159" spans="2:14" ht="16.5" x14ac:dyDescent="0.35">
      <c r="B159" s="172" t="s">
        <v>643</v>
      </c>
      <c r="C159" s="171">
        <f>C119</f>
        <v>1</v>
      </c>
      <c r="D159" s="28" t="s">
        <v>505</v>
      </c>
      <c r="E159" s="272" t="s">
        <v>567</v>
      </c>
      <c r="F159" s="272"/>
      <c r="G159" s="272"/>
      <c r="H159" s="272"/>
      <c r="I159" s="272"/>
      <c r="J159" s="272"/>
      <c r="K159" s="272"/>
      <c r="L159" s="272"/>
      <c r="M159" s="272"/>
      <c r="N159" s="14" t="s">
        <v>651</v>
      </c>
    </row>
    <row r="160" spans="2:14" ht="16.5" x14ac:dyDescent="0.35">
      <c r="B160" s="172" t="s">
        <v>644</v>
      </c>
      <c r="C160" s="171">
        <f>C128</f>
        <v>0.11235860144605425</v>
      </c>
      <c r="D160" s="28" t="s">
        <v>505</v>
      </c>
      <c r="E160" s="272" t="s">
        <v>567</v>
      </c>
      <c r="F160" s="272"/>
      <c r="G160" s="272"/>
      <c r="H160" s="272"/>
      <c r="I160" s="272"/>
      <c r="J160" s="272"/>
      <c r="K160" s="272"/>
      <c r="L160" s="272"/>
      <c r="M160" s="272"/>
      <c r="N160" s="14" t="s">
        <v>651</v>
      </c>
    </row>
    <row r="161" spans="2:13" s="166" customFormat="1" ht="15" thickBot="1" x14ac:dyDescent="0.4"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</row>
  </sheetData>
  <mergeCells count="109">
    <mergeCell ref="B2:H2"/>
    <mergeCell ref="J2:L2"/>
    <mergeCell ref="F8:F10"/>
    <mergeCell ref="B12:S12"/>
    <mergeCell ref="B29:H29"/>
    <mergeCell ref="E37:M37"/>
    <mergeCell ref="E38:M38"/>
    <mergeCell ref="E39:M39"/>
    <mergeCell ref="E40:M40"/>
    <mergeCell ref="E41:M41"/>
    <mergeCell ref="E42:M42"/>
    <mergeCell ref="E31:M31"/>
    <mergeCell ref="E32:M32"/>
    <mergeCell ref="E33:M33"/>
    <mergeCell ref="E34:M34"/>
    <mergeCell ref="E35:M35"/>
    <mergeCell ref="E36:M36"/>
    <mergeCell ref="E49:M49"/>
    <mergeCell ref="E50:M50"/>
    <mergeCell ref="B52:H52"/>
    <mergeCell ref="E54:M54"/>
    <mergeCell ref="E55:M55"/>
    <mergeCell ref="B57:H57"/>
    <mergeCell ref="E43:M43"/>
    <mergeCell ref="E44:M44"/>
    <mergeCell ref="E45:M45"/>
    <mergeCell ref="E46:M46"/>
    <mergeCell ref="E47:M47"/>
    <mergeCell ref="E48:M48"/>
    <mergeCell ref="E65:M65"/>
    <mergeCell ref="B67:H67"/>
    <mergeCell ref="E69:M69"/>
    <mergeCell ref="E70:M70"/>
    <mergeCell ref="E71:M71"/>
    <mergeCell ref="E72:M72"/>
    <mergeCell ref="E59:M59"/>
    <mergeCell ref="E60:M60"/>
    <mergeCell ref="E61:M61"/>
    <mergeCell ref="E62:M62"/>
    <mergeCell ref="E63:M63"/>
    <mergeCell ref="E64:M64"/>
    <mergeCell ref="E73:M73"/>
    <mergeCell ref="E74:M74"/>
    <mergeCell ref="B101:H101"/>
    <mergeCell ref="E103:M103"/>
    <mergeCell ref="E104:M104"/>
    <mergeCell ref="E105:M105"/>
    <mergeCell ref="E93:M93"/>
    <mergeCell ref="E94:M94"/>
    <mergeCell ref="E95:M95"/>
    <mergeCell ref="E96:M96"/>
    <mergeCell ref="E97:M97"/>
    <mergeCell ref="E98:M98"/>
    <mergeCell ref="E99:M99"/>
    <mergeCell ref="E84:M84"/>
    <mergeCell ref="B76:H76"/>
    <mergeCell ref="E78:M78"/>
    <mergeCell ref="E79:M79"/>
    <mergeCell ref="E80:M80"/>
    <mergeCell ref="E81:M81"/>
    <mergeCell ref="E82:M82"/>
    <mergeCell ref="E83:M83"/>
    <mergeCell ref="B91:H91"/>
    <mergeCell ref="E151:M151"/>
    <mergeCell ref="B144:H144"/>
    <mergeCell ref="E146:M146"/>
    <mergeCell ref="E147:M147"/>
    <mergeCell ref="E148:M148"/>
    <mergeCell ref="E149:M149"/>
    <mergeCell ref="E150:M150"/>
    <mergeCell ref="E119:M119"/>
    <mergeCell ref="B137:H137"/>
    <mergeCell ref="E139:M139"/>
    <mergeCell ref="E140:M140"/>
    <mergeCell ref="E141:M141"/>
    <mergeCell ref="E142:M142"/>
    <mergeCell ref="E123:M123"/>
    <mergeCell ref="E124:M124"/>
    <mergeCell ref="E125:M125"/>
    <mergeCell ref="E130:M130"/>
    <mergeCell ref="E126:M126"/>
    <mergeCell ref="E127:M127"/>
    <mergeCell ref="E128:M128"/>
    <mergeCell ref="E129:M129"/>
    <mergeCell ref="B121:H121"/>
    <mergeCell ref="E106:M106"/>
    <mergeCell ref="E107:M107"/>
    <mergeCell ref="E108:M108"/>
    <mergeCell ref="E109:M109"/>
    <mergeCell ref="E110:M110"/>
    <mergeCell ref="E111:M111"/>
    <mergeCell ref="E160:M160"/>
    <mergeCell ref="B86:H86"/>
    <mergeCell ref="E88:M88"/>
    <mergeCell ref="E89:M89"/>
    <mergeCell ref="B132:H132"/>
    <mergeCell ref="E134:M134"/>
    <mergeCell ref="E135:M135"/>
    <mergeCell ref="E159:M159"/>
    <mergeCell ref="E152:M152"/>
    <mergeCell ref="E153:M153"/>
    <mergeCell ref="E154:M154"/>
    <mergeCell ref="B156:H156"/>
    <mergeCell ref="E158:M158"/>
    <mergeCell ref="E112:M112"/>
    <mergeCell ref="E113:M113"/>
    <mergeCell ref="E114:M114"/>
    <mergeCell ref="B116:H116"/>
    <mergeCell ref="E118:M1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54DF-8C08-46C6-BC3B-ED2886D7D5EB}">
  <dimension ref="B2:AS191"/>
  <sheetViews>
    <sheetView tabSelected="1" topLeftCell="X1" zoomScale="60" zoomScaleNormal="60" workbookViewId="0">
      <selection activeCell="AD4" sqref="AD4:AS31"/>
    </sheetView>
  </sheetViews>
  <sheetFormatPr baseColWidth="10" defaultRowHeight="14.5" x14ac:dyDescent="0.35"/>
  <cols>
    <col min="2" max="2" width="19.90625" bestFit="1" customWidth="1"/>
    <col min="4" max="4" width="12.08984375" customWidth="1"/>
    <col min="5" max="5" width="13.36328125" customWidth="1"/>
    <col min="6" max="6" width="13.1796875" customWidth="1"/>
    <col min="8" max="8" width="13" customWidth="1"/>
    <col min="9" max="9" width="11.54296875" bestFit="1" customWidth="1"/>
    <col min="12" max="12" width="15.6328125" bestFit="1" customWidth="1"/>
    <col min="13" max="13" width="19.90625" bestFit="1" customWidth="1"/>
    <col min="14" max="14" width="12.90625" customWidth="1"/>
    <col min="15" max="15" width="13.26953125" customWidth="1"/>
    <col min="16" max="16" width="12.36328125" customWidth="1"/>
    <col min="18" max="18" width="12.453125" customWidth="1"/>
    <col min="30" max="30" width="16" bestFit="1" customWidth="1"/>
    <col min="31" max="31" width="12.453125" customWidth="1"/>
    <col min="32" max="32" width="20" customWidth="1"/>
    <col min="33" max="33" width="12.26953125" customWidth="1"/>
    <col min="34" max="35" width="12.36328125" bestFit="1" customWidth="1"/>
    <col min="39" max="39" width="16" bestFit="1" customWidth="1"/>
    <col min="40" max="40" width="14.81640625" customWidth="1"/>
    <col min="42" max="42" width="13.1796875" customWidth="1"/>
    <col min="44" max="44" width="11.6328125" customWidth="1"/>
  </cols>
  <sheetData>
    <row r="2" spans="2:45" ht="16.5" x14ac:dyDescent="0.45">
      <c r="B2" s="315" t="s">
        <v>692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</row>
    <row r="4" spans="2:45" ht="29" x14ac:dyDescent="0.35">
      <c r="B4" s="207" t="s">
        <v>660</v>
      </c>
      <c r="C4" s="207" t="s">
        <v>477</v>
      </c>
      <c r="D4" s="207" t="s">
        <v>15</v>
      </c>
      <c r="E4" s="207" t="s">
        <v>684</v>
      </c>
      <c r="F4" s="207" t="s">
        <v>691</v>
      </c>
      <c r="G4" s="207" t="s">
        <v>689</v>
      </c>
      <c r="H4" s="207" t="s">
        <v>693</v>
      </c>
      <c r="I4" s="207" t="s">
        <v>292</v>
      </c>
      <c r="J4" s="207" t="s">
        <v>515</v>
      </c>
      <c r="K4" s="207" t="s">
        <v>665</v>
      </c>
      <c r="M4" s="169" t="s">
        <v>660</v>
      </c>
      <c r="N4" s="169" t="s">
        <v>477</v>
      </c>
      <c r="O4" s="207" t="s">
        <v>684</v>
      </c>
      <c r="P4" s="207" t="s">
        <v>691</v>
      </c>
      <c r="Q4" s="207" t="s">
        <v>689</v>
      </c>
      <c r="R4" s="207" t="s">
        <v>694</v>
      </c>
      <c r="S4" s="207" t="s">
        <v>292</v>
      </c>
      <c r="T4" s="207" t="s">
        <v>515</v>
      </c>
      <c r="U4" s="207" t="s">
        <v>665</v>
      </c>
      <c r="AD4" s="319"/>
      <c r="AE4" s="207" t="s">
        <v>684</v>
      </c>
      <c r="AF4" s="321" t="s">
        <v>680</v>
      </c>
      <c r="AG4" s="207" t="s">
        <v>681</v>
      </c>
      <c r="AH4" s="207" t="s">
        <v>675</v>
      </c>
      <c r="AI4" s="207" t="s">
        <v>676</v>
      </c>
      <c r="AM4" s="319"/>
      <c r="AN4" s="207" t="s">
        <v>683</v>
      </c>
      <c r="AO4" s="321" t="s">
        <v>680</v>
      </c>
      <c r="AP4" s="207" t="s">
        <v>681</v>
      </c>
      <c r="AQ4" s="207" t="s">
        <v>675</v>
      </c>
      <c r="AR4" s="207" t="s">
        <v>676</v>
      </c>
    </row>
    <row r="5" spans="2:45" x14ac:dyDescent="0.35">
      <c r="B5" s="59" t="s">
        <v>666</v>
      </c>
      <c r="C5" s="28" t="s">
        <v>667</v>
      </c>
      <c r="D5" s="8">
        <f>SUM(E5:K5)</f>
        <v>4.8544220225E-4</v>
      </c>
      <c r="E5" s="208">
        <v>0</v>
      </c>
      <c r="F5" s="208">
        <f>H21</f>
        <v>4.6509930000000001E-4</v>
      </c>
      <c r="G5" s="208">
        <v>7.4199999999999995E-7</v>
      </c>
      <c r="H5" s="208">
        <v>3.0899999999999999E-8</v>
      </c>
      <c r="I5" s="208">
        <v>1.7900000000000001E-5</v>
      </c>
      <c r="J5" s="208">
        <v>2.2499999999999999E-12</v>
      </c>
      <c r="K5" s="208">
        <v>1.6700000000000001E-6</v>
      </c>
      <c r="M5" s="59" t="s">
        <v>666</v>
      </c>
      <c r="N5" s="5" t="s">
        <v>74</v>
      </c>
      <c r="O5" s="23">
        <f>E5/$D5</f>
        <v>0</v>
      </c>
      <c r="P5" s="23">
        <f t="shared" ref="P5:U8" si="0">F5/$D5</f>
        <v>0.95809407967475491</v>
      </c>
      <c r="Q5" s="23">
        <f t="shared" si="0"/>
        <v>1.5285032833174939E-3</v>
      </c>
      <c r="R5" s="23">
        <f t="shared" si="0"/>
        <v>6.3653303847049282E-5</v>
      </c>
      <c r="S5" s="23">
        <f t="shared" si="0"/>
        <v>3.6873596726931461E-2</v>
      </c>
      <c r="T5" s="23">
        <f t="shared" si="0"/>
        <v>4.6349493092511609E-9</v>
      </c>
      <c r="U5" s="23">
        <f t="shared" si="0"/>
        <v>3.4401623761997511E-3</v>
      </c>
      <c r="AD5" s="316" t="s">
        <v>717</v>
      </c>
      <c r="AE5" s="48">
        <f>D7</f>
        <v>799.31100000220988</v>
      </c>
      <c r="AF5" s="48">
        <f>H23</f>
        <v>777.10299999999995</v>
      </c>
      <c r="AG5" s="48">
        <f>D39*'LCA inventory (pure CO2)'!N99</f>
        <v>29.653177870669328</v>
      </c>
      <c r="AH5" s="48">
        <f>D47*'LCA inventory (pure CO2)'!N99</f>
        <v>28.956139897102439</v>
      </c>
      <c r="AI5" s="48">
        <f>D55*'LCA inventory (pure CO2)'!N99</f>
        <v>28.325880650824587</v>
      </c>
      <c r="AM5" s="316" t="s">
        <v>717</v>
      </c>
      <c r="AN5" s="48">
        <f>D15</f>
        <v>492.863</v>
      </c>
      <c r="AO5" s="48">
        <f>D23</f>
        <v>476.06299999999999</v>
      </c>
      <c r="AP5" s="48">
        <f>D39*'LCA inventory (pure CO2)'!$N$98</f>
        <v>17.993522129330675</v>
      </c>
      <c r="AQ5" s="48">
        <f>D47*'LCA inventory (pure CO2)'!$N$98</f>
        <v>17.57056010289757</v>
      </c>
      <c r="AR5" s="48">
        <f>D55*'LCA inventory (pure CO2)'!$N$98</f>
        <v>17.18811934917542</v>
      </c>
    </row>
    <row r="6" spans="2:45" ht="16.5" x14ac:dyDescent="0.35">
      <c r="B6" s="59" t="s">
        <v>668</v>
      </c>
      <c r="C6" s="28" t="s">
        <v>669</v>
      </c>
      <c r="D6" s="8">
        <f>SUM(E6:K6)</f>
        <v>30.421683459999993</v>
      </c>
      <c r="E6" s="208">
        <v>0</v>
      </c>
      <c r="F6" s="208">
        <f t="shared" ref="F6:F8" si="1">H22</f>
        <v>24.814299999999999</v>
      </c>
      <c r="G6" s="208">
        <v>3.5799999999999998E-2</v>
      </c>
      <c r="H6" s="208">
        <v>5.8E-4</v>
      </c>
      <c r="I6" s="208">
        <v>5.33</v>
      </c>
      <c r="J6" s="208">
        <v>3.4599999999999999E-6</v>
      </c>
      <c r="K6" s="208">
        <v>0.24099999999999999</v>
      </c>
      <c r="M6" s="59" t="s">
        <v>668</v>
      </c>
      <c r="N6" s="5" t="s">
        <v>74</v>
      </c>
      <c r="O6" s="23">
        <f>E6/$D6</f>
        <v>0</v>
      </c>
      <c r="P6" s="23">
        <f t="shared" si="0"/>
        <v>0.81567806833001621</v>
      </c>
      <c r="Q6" s="23">
        <f t="shared" si="0"/>
        <v>1.1767922063574061E-3</v>
      </c>
      <c r="R6" s="23">
        <f t="shared" si="0"/>
        <v>1.9065348594617193E-5</v>
      </c>
      <c r="S6" s="23">
        <f t="shared" si="0"/>
        <v>0.17520397932639595</v>
      </c>
      <c r="T6" s="23">
        <f t="shared" si="0"/>
        <v>1.1373466575409567E-7</v>
      </c>
      <c r="U6" s="23">
        <f t="shared" si="0"/>
        <v>7.9219810539702482E-3</v>
      </c>
      <c r="AD6" s="316"/>
      <c r="AE6" s="48">
        <f>AE5-AF5</f>
        <v>22.208000002209928</v>
      </c>
      <c r="AF6" s="48">
        <f>AF5-AG5</f>
        <v>747.44982212933064</v>
      </c>
      <c r="AG6" s="48">
        <f>AG5-AH5</f>
        <v>0.69703797356688924</v>
      </c>
      <c r="AH6" s="48">
        <f t="shared" ref="AF6:AI6" si="2">AH5-AI5</f>
        <v>0.63025924627785201</v>
      </c>
      <c r="AI6" s="48">
        <f t="shared" si="2"/>
        <v>28.325880650824587</v>
      </c>
      <c r="AM6" s="316"/>
      <c r="AN6" s="48">
        <f>AN5-AO5</f>
        <v>16.800000000000011</v>
      </c>
      <c r="AO6" s="48">
        <f>AO5-AP5</f>
        <v>458.06947787066929</v>
      </c>
      <c r="AP6" s="48">
        <f>AP5-AQ5</f>
        <v>0.42296202643310465</v>
      </c>
      <c r="AQ6" s="48">
        <f t="shared" ref="AQ6" si="3">AQ5-AR5</f>
        <v>0.38244075372215036</v>
      </c>
      <c r="AR6" s="48">
        <f t="shared" ref="AR6" si="4">AR5-AS5</f>
        <v>17.18811934917542</v>
      </c>
    </row>
    <row r="7" spans="2:45" ht="16.5" x14ac:dyDescent="0.45">
      <c r="B7" s="209" t="s">
        <v>670</v>
      </c>
      <c r="C7" s="210" t="s">
        <v>671</v>
      </c>
      <c r="D7" s="211">
        <f>SUM(E7:K7)</f>
        <v>799.31100000220988</v>
      </c>
      <c r="E7" s="213">
        <v>0</v>
      </c>
      <c r="F7" s="213">
        <f t="shared" si="1"/>
        <v>777.10299999999995</v>
      </c>
      <c r="G7" s="213">
        <v>6.8</v>
      </c>
      <c r="H7" s="213">
        <v>0.47799999999999998</v>
      </c>
      <c r="I7" s="213">
        <v>13.2</v>
      </c>
      <c r="J7" s="213">
        <v>2.21E-9</v>
      </c>
      <c r="K7" s="213">
        <v>1.73</v>
      </c>
      <c r="M7" s="209" t="s">
        <v>670</v>
      </c>
      <c r="N7" s="210" t="s">
        <v>74</v>
      </c>
      <c r="O7" s="217">
        <f>E7/$D7</f>
        <v>0</v>
      </c>
      <c r="P7" s="217">
        <f t="shared" si="0"/>
        <v>0.97221607108853936</v>
      </c>
      <c r="Q7" s="217">
        <f t="shared" si="0"/>
        <v>8.5073269352995261E-3</v>
      </c>
      <c r="R7" s="217">
        <f t="shared" si="0"/>
        <v>5.9801504045193729E-4</v>
      </c>
      <c r="S7" s="217">
        <f t="shared" si="0"/>
        <v>1.6514222874404964E-2</v>
      </c>
      <c r="T7" s="217">
        <f t="shared" si="0"/>
        <v>2.764881253972346E-12</v>
      </c>
      <c r="U7" s="217">
        <f t="shared" si="0"/>
        <v>2.1643640585394383E-3</v>
      </c>
      <c r="AD7" s="172" t="s">
        <v>721</v>
      </c>
      <c r="AE7" s="320">
        <f>AE6/$AE$5</f>
        <v>2.7783928911460656E-2</v>
      </c>
      <c r="AF7" s="320">
        <f t="shared" ref="AF7:AI7" si="5">AF6/$AE$5</f>
        <v>0.93511764773319039</v>
      </c>
      <c r="AG7" s="320">
        <f t="shared" si="5"/>
        <v>8.7204851874297007E-4</v>
      </c>
      <c r="AH7" s="320">
        <f t="shared" si="5"/>
        <v>7.8850315618840419E-4</v>
      </c>
      <c r="AI7" s="320">
        <f t="shared" si="5"/>
        <v>3.54378716804176E-2</v>
      </c>
      <c r="AJ7" s="317">
        <f>SUM(AE7:AI7)</f>
        <v>1</v>
      </c>
      <c r="AM7" s="172" t="s">
        <v>721</v>
      </c>
      <c r="AN7" s="320">
        <f>AN6/$AN$5</f>
        <v>3.4086551435185866E-2</v>
      </c>
      <c r="AO7" s="320">
        <f t="shared" ref="AO7:AR7" si="6">AO6/$AN$5</f>
        <v>0.92940528680519596</v>
      </c>
      <c r="AP7" s="320">
        <f t="shared" si="6"/>
        <v>8.5817362316324144E-4</v>
      </c>
      <c r="AQ7" s="320">
        <f t="shared" si="6"/>
        <v>7.7595752515841184E-4</v>
      </c>
      <c r="AR7" s="320">
        <f t="shared" si="6"/>
        <v>3.4874030611296486E-2</v>
      </c>
      <c r="AS7" s="317">
        <f>SUM(AN7:AR7)</f>
        <v>1</v>
      </c>
    </row>
    <row r="8" spans="2:45" x14ac:dyDescent="0.35">
      <c r="B8" s="59" t="s">
        <v>672</v>
      </c>
      <c r="C8" s="5" t="s">
        <v>673</v>
      </c>
      <c r="D8" s="8">
        <f>SUM(E8:K8)</f>
        <v>26111.16</v>
      </c>
      <c r="E8" s="208">
        <v>0</v>
      </c>
      <c r="F8" s="208">
        <f t="shared" si="1"/>
        <v>25802.09</v>
      </c>
      <c r="G8" s="208">
        <v>115</v>
      </c>
      <c r="H8" s="208">
        <v>5.57</v>
      </c>
      <c r="I8" s="208">
        <v>153</v>
      </c>
      <c r="J8" s="208">
        <v>0.2</v>
      </c>
      <c r="K8" s="208">
        <v>35.299999999999997</v>
      </c>
      <c r="M8" s="59" t="s">
        <v>672</v>
      </c>
      <c r="N8" s="5" t="s">
        <v>74</v>
      </c>
      <c r="O8" s="23">
        <f>E8/$D8</f>
        <v>0</v>
      </c>
      <c r="P8" s="23">
        <f t="shared" si="0"/>
        <v>0.98816329875807896</v>
      </c>
      <c r="Q8" s="23">
        <f t="shared" si="0"/>
        <v>4.4042470728990974E-3</v>
      </c>
      <c r="R8" s="23">
        <f t="shared" si="0"/>
        <v>2.1331874953085196E-4</v>
      </c>
      <c r="S8" s="23">
        <f t="shared" si="0"/>
        <v>5.8595634969874954E-3</v>
      </c>
      <c r="T8" s="23">
        <f t="shared" si="0"/>
        <v>7.6595601267810397E-6</v>
      </c>
      <c r="U8" s="23">
        <f t="shared" si="0"/>
        <v>1.3519123623768534E-3</v>
      </c>
      <c r="AD8" s="316" t="s">
        <v>666</v>
      </c>
      <c r="AE8" s="48">
        <f>D5</f>
        <v>4.8544220225E-4</v>
      </c>
      <c r="AF8" s="48">
        <f>H21</f>
        <v>4.6509930000000001E-4</v>
      </c>
      <c r="AG8" s="48">
        <f>D37*'LCA inventory (pure CO2)'!N99</f>
        <v>2.249254410953666E-5</v>
      </c>
      <c r="AH8" s="48">
        <f>D45*'LCA inventory (pure CO2)'!N99</f>
        <v>2.1820400349311439E-5</v>
      </c>
      <c r="AI8" s="48">
        <f>D53*'LCA inventory (pure CO2)'!N99</f>
        <v>2.1214226254441659E-5</v>
      </c>
      <c r="AM8" s="316" t="s">
        <v>666</v>
      </c>
      <c r="AN8" s="48">
        <f>D13</f>
        <v>3.4684080000000001E-4</v>
      </c>
      <c r="AO8" s="48">
        <f>D21</f>
        <v>2.8506080000000001E-4</v>
      </c>
      <c r="AP8" s="48">
        <f>D37*'LCA inventory (pure CO2)'!N98</f>
        <v>1.3648455890463349E-5</v>
      </c>
      <c r="AQ8" s="48">
        <f>D45*'LCA inventory (pure CO2)'!N98</f>
        <v>1.3240599650688564E-5</v>
      </c>
      <c r="AR8" s="48">
        <f>D53*'LCA inventory (pure CO2)'!N98</f>
        <v>1.2872773745558344E-5</v>
      </c>
    </row>
    <row r="9" spans="2:45" x14ac:dyDescent="0.35">
      <c r="AD9" s="316"/>
      <c r="AE9" s="48">
        <f>AE8-AF8</f>
        <v>2.0342902249999989E-5</v>
      </c>
      <c r="AF9" s="48">
        <f t="shared" ref="AF9:AI9" si="7">AF8-AG8</f>
        <v>4.4260675589046335E-4</v>
      </c>
      <c r="AG9" s="48">
        <f t="shared" si="7"/>
        <v>6.7214376022522036E-7</v>
      </c>
      <c r="AH9" s="48">
        <f t="shared" si="7"/>
        <v>6.061740948697805E-7</v>
      </c>
      <c r="AI9" s="48">
        <f t="shared" si="7"/>
        <v>2.1214226254441659E-5</v>
      </c>
      <c r="AM9" s="316"/>
      <c r="AN9" s="48">
        <f>AN8-AO8</f>
        <v>6.1779999999999995E-5</v>
      </c>
      <c r="AO9" s="48">
        <f t="shared" ref="AO9" si="8">AO8-AP8</f>
        <v>2.7141234410953666E-4</v>
      </c>
      <c r="AP9" s="48">
        <f t="shared" ref="AP9" si="9">AP8-AQ8</f>
        <v>4.0785623977478455E-7</v>
      </c>
      <c r="AQ9" s="48">
        <f t="shared" ref="AQ9" si="10">AQ8-AR8</f>
        <v>3.6782590513022068E-7</v>
      </c>
      <c r="AR9" s="48">
        <f t="shared" ref="AR9" si="11">AR8-AS8</f>
        <v>1.2872773745558344E-5</v>
      </c>
    </row>
    <row r="10" spans="2:45" ht="16.5" x14ac:dyDescent="0.45">
      <c r="B10" s="315" t="s">
        <v>688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AD10" s="172" t="s">
        <v>721</v>
      </c>
      <c r="AE10" s="320">
        <f>AE9/$AE$8</f>
        <v>4.1905920325245039E-2</v>
      </c>
      <c r="AF10" s="320">
        <f t="shared" ref="AF10:AI10" si="12">AF9/$AE$8</f>
        <v>0.91175994554862239</v>
      </c>
      <c r="AG10" s="320">
        <f t="shared" si="12"/>
        <v>1.3846010031881614E-3</v>
      </c>
      <c r="AH10" s="320">
        <f t="shared" si="12"/>
        <v>1.2487049788011721E-3</v>
      </c>
      <c r="AI10" s="320">
        <f t="shared" si="12"/>
        <v>4.3700828144143208E-2</v>
      </c>
      <c r="AJ10" s="317">
        <f>SUM(AE10:AI10)</f>
        <v>1</v>
      </c>
      <c r="AM10" s="172" t="s">
        <v>721</v>
      </c>
      <c r="AN10" s="320">
        <f>AN9/$AN$8</f>
        <v>0.17812206637742731</v>
      </c>
      <c r="AO10" s="320">
        <f t="shared" ref="AO10:AR10" si="13">AO9/$AN$8</f>
        <v>0.78252715398400841</v>
      </c>
      <c r="AP10" s="320">
        <f t="shared" si="13"/>
        <v>1.1759177114537406E-3</v>
      </c>
      <c r="AQ10" s="320">
        <f t="shared" si="13"/>
        <v>1.0605035656999426E-3</v>
      </c>
      <c r="AR10" s="320">
        <f t="shared" si="13"/>
        <v>3.7114358361410603E-2</v>
      </c>
      <c r="AS10" s="317">
        <f>SUM(AN10:AR10)</f>
        <v>1</v>
      </c>
    </row>
    <row r="11" spans="2:45" x14ac:dyDescent="0.35">
      <c r="AD11" s="318" t="s">
        <v>668</v>
      </c>
      <c r="AE11" s="48">
        <f>D6</f>
        <v>30.421683459999993</v>
      </c>
      <c r="AF11" s="48">
        <f>H22</f>
        <v>24.814299999999999</v>
      </c>
      <c r="AG11" s="48">
        <f>D38*'LCA inventory (pure CO2)'!N99</f>
        <v>7.4703800106364602</v>
      </c>
      <c r="AH11" s="48">
        <f>D46*'LCA inventory (pure CO2)'!N99</f>
        <v>7.3732925786039285</v>
      </c>
      <c r="AI11" s="48">
        <f>D54*'LCA inventory (pure CO2)'!N99</f>
        <v>7.302095128446739</v>
      </c>
      <c r="AM11" s="318" t="s">
        <v>668</v>
      </c>
      <c r="AN11" s="48">
        <f>D14</f>
        <v>15.370169999999998</v>
      </c>
      <c r="AO11" s="48">
        <f>D22</f>
        <v>15.208769999999999</v>
      </c>
      <c r="AP11" s="48">
        <f>D38*'LCA inventory (pure CO2)'!N98</f>
        <v>4.5330199893635417</v>
      </c>
      <c r="AQ11" s="48">
        <f>D46*'LCA inventory (pure CO2)'!N98</f>
        <v>4.4741074213960728</v>
      </c>
      <c r="AR11" s="48">
        <f>D54*'LCA inventory (pure CO2)'!N98</f>
        <v>4.4309048715532624</v>
      </c>
    </row>
    <row r="12" spans="2:45" ht="29" x14ac:dyDescent="0.35">
      <c r="B12" s="207" t="s">
        <v>660</v>
      </c>
      <c r="C12" s="207" t="s">
        <v>477</v>
      </c>
      <c r="D12" s="207" t="s">
        <v>15</v>
      </c>
      <c r="E12" s="207" t="s">
        <v>683</v>
      </c>
      <c r="F12" s="207" t="s">
        <v>690</v>
      </c>
      <c r="G12" s="207" t="s">
        <v>689</v>
      </c>
      <c r="H12" s="207" t="s">
        <v>665</v>
      </c>
      <c r="L12" s="169" t="s">
        <v>660</v>
      </c>
      <c r="M12" s="169" t="s">
        <v>477</v>
      </c>
      <c r="N12" s="207" t="s">
        <v>683</v>
      </c>
      <c r="O12" s="207" t="s">
        <v>690</v>
      </c>
      <c r="P12" s="207" t="s">
        <v>689</v>
      </c>
      <c r="Q12" s="207" t="s">
        <v>665</v>
      </c>
      <c r="AD12" s="318"/>
      <c r="AE12" s="48">
        <f>AE11-AF11</f>
        <v>5.6073834599999941</v>
      </c>
      <c r="AF12" s="48">
        <f t="shared" ref="AF12:AI12" si="14">AF11-AG11</f>
        <v>17.343919989363538</v>
      </c>
      <c r="AG12" s="48">
        <f t="shared" si="14"/>
        <v>9.7087432032531673E-2</v>
      </c>
      <c r="AH12" s="48">
        <f t="shared" si="14"/>
        <v>7.1197450157189479E-2</v>
      </c>
      <c r="AI12" s="48">
        <f t="shared" si="14"/>
        <v>7.302095128446739</v>
      </c>
      <c r="AM12" s="318"/>
      <c r="AN12" s="48">
        <f>AN11-AO11</f>
        <v>0.16139999999999866</v>
      </c>
      <c r="AO12" s="48">
        <f t="shared" ref="AO12" si="15">AO11-AP11</f>
        <v>10.675750010636458</v>
      </c>
      <c r="AP12" s="48">
        <f t="shared" ref="AP12" si="16">AP11-AQ11</f>
        <v>5.891256796746891E-2</v>
      </c>
      <c r="AQ12" s="48">
        <f t="shared" ref="AQ12" si="17">AQ11-AR11</f>
        <v>4.3202549842810356E-2</v>
      </c>
      <c r="AR12" s="48">
        <f t="shared" ref="AR12" si="18">AR11-AS11</f>
        <v>4.4309048715532624</v>
      </c>
    </row>
    <row r="13" spans="2:45" x14ac:dyDescent="0.35">
      <c r="B13" s="59" t="s">
        <v>666</v>
      </c>
      <c r="C13" s="28" t="s">
        <v>667</v>
      </c>
      <c r="D13" s="8">
        <f>SUM(E13:G13)</f>
        <v>3.4684080000000001E-4</v>
      </c>
      <c r="E13" s="208">
        <v>5.9299999999999998E-5</v>
      </c>
      <c r="F13" s="208">
        <f>D21</f>
        <v>2.8506080000000001E-4</v>
      </c>
      <c r="G13" s="208">
        <v>2.48E-6</v>
      </c>
      <c r="H13" s="208">
        <v>1.2499999999999999E-8</v>
      </c>
      <c r="I13" s="214"/>
      <c r="L13" s="59" t="s">
        <v>666</v>
      </c>
      <c r="M13" s="5" t="s">
        <v>74</v>
      </c>
      <c r="N13" s="23">
        <f>E13/$D13</f>
        <v>0.17097181185143154</v>
      </c>
      <c r="O13" s="23">
        <f t="shared" ref="O13:O16" si="19">F13/$D13</f>
        <v>0.82187793362257267</v>
      </c>
      <c r="P13" s="23">
        <f t="shared" ref="P13:P16" si="20">G13/$D13</f>
        <v>7.1502545259957877E-3</v>
      </c>
      <c r="Q13" s="23">
        <f t="shared" ref="Q13:Q16" si="21">H13/$D13</f>
        <v>3.6039589344736836E-5</v>
      </c>
      <c r="AD13" s="172" t="s">
        <v>721</v>
      </c>
      <c r="AE13" s="320">
        <f>AE12/$AE$11</f>
        <v>0.18432193166998376</v>
      </c>
      <c r="AF13" s="320">
        <f t="shared" ref="AF13:AI13" si="22">AF12/$AE$11</f>
        <v>0.57011703550752624</v>
      </c>
      <c r="AG13" s="320">
        <f t="shared" si="22"/>
        <v>3.1913891997524483E-3</v>
      </c>
      <c r="AH13" s="320">
        <f t="shared" si="22"/>
        <v>2.3403520798184487E-3</v>
      </c>
      <c r="AI13" s="320">
        <f t="shared" si="22"/>
        <v>0.24002929154291913</v>
      </c>
      <c r="AJ13" s="317">
        <f>SUM(AE13:AI13)</f>
        <v>1</v>
      </c>
      <c r="AM13" s="172" t="s">
        <v>721</v>
      </c>
      <c r="AN13" s="320">
        <f>AN12/$AN$11</f>
        <v>1.0500859782292498E-2</v>
      </c>
      <c r="AO13" s="320">
        <f t="shared" ref="AO13:AR13" si="23">AO12/$AN$11</f>
        <v>0.69457592275403979</v>
      </c>
      <c r="AP13" s="320">
        <f t="shared" si="23"/>
        <v>3.8329158342080092E-3</v>
      </c>
      <c r="AQ13" s="320">
        <f t="shared" si="23"/>
        <v>2.8108049450858616E-3</v>
      </c>
      <c r="AR13" s="320">
        <f t="shared" si="23"/>
        <v>0.28827949668437386</v>
      </c>
      <c r="AS13" s="317">
        <f>SUM(AN13:AR13)</f>
        <v>1</v>
      </c>
    </row>
    <row r="14" spans="2:45" ht="16.5" x14ac:dyDescent="0.35">
      <c r="B14" s="59" t="s">
        <v>668</v>
      </c>
      <c r="C14" s="28" t="s">
        <v>669</v>
      </c>
      <c r="D14" s="8">
        <f t="shared" ref="D14:D16" si="24">SUM(E14:G14)</f>
        <v>15.370169999999998</v>
      </c>
      <c r="E14" s="208">
        <v>2.8400000000000002E-2</v>
      </c>
      <c r="F14" s="208">
        <f t="shared" ref="F14:F16" si="25">D22</f>
        <v>15.208769999999999</v>
      </c>
      <c r="G14" s="208">
        <v>0.13300000000000001</v>
      </c>
      <c r="H14" s="208">
        <v>1.81E-3</v>
      </c>
      <c r="I14" s="214"/>
      <c r="L14" s="59" t="s">
        <v>668</v>
      </c>
      <c r="M14" s="5" t="s">
        <v>74</v>
      </c>
      <c r="N14" s="23">
        <f t="shared" ref="N14:N16" si="26">E14/$D14</f>
        <v>1.8477349307131935E-3</v>
      </c>
      <c r="O14" s="23">
        <f t="shared" si="19"/>
        <v>0.98949914021770746</v>
      </c>
      <c r="P14" s="23">
        <f t="shared" si="20"/>
        <v>8.653124851579392E-3</v>
      </c>
      <c r="Q14" s="23">
        <f t="shared" si="21"/>
        <v>1.1776057128841127E-4</v>
      </c>
      <c r="AD14" s="316" t="s">
        <v>672</v>
      </c>
      <c r="AE14" s="48">
        <f>D8</f>
        <v>26111.16</v>
      </c>
      <c r="AF14" s="48">
        <f>H24</f>
        <v>25802.09</v>
      </c>
      <c r="AG14" s="48">
        <f>D40*'LCA inventory (pure CO2)'!N99</f>
        <v>505.09612043857766</v>
      </c>
      <c r="AH14" s="48">
        <f>D48*'LCA inventory (pure CO2)'!N99</f>
        <v>490.8441833004689</v>
      </c>
      <c r="AI14" s="48">
        <f>D56*'LCA inventory (pure CO2)'!N99</f>
        <v>477.68261270672548</v>
      </c>
      <c r="AM14" s="316" t="s">
        <v>672</v>
      </c>
      <c r="AN14" s="48">
        <f>D16</f>
        <v>16088.28</v>
      </c>
      <c r="AO14" s="48">
        <f>D24</f>
        <v>15801.28</v>
      </c>
      <c r="AP14" s="48">
        <f>D40*'LCA inventory (pure CO2)'!N98</f>
        <v>306.49187956142237</v>
      </c>
      <c r="AQ14" s="48">
        <f>D48*'LCA inventory (pure CO2)'!N98</f>
        <v>297.84381669953115</v>
      </c>
      <c r="AR14" s="48">
        <f>D56*'LCA inventory (pure CO2)'!N98</f>
        <v>289.8573872932746</v>
      </c>
    </row>
    <row r="15" spans="2:45" ht="16.5" x14ac:dyDescent="0.45">
      <c r="B15" s="209" t="s">
        <v>670</v>
      </c>
      <c r="C15" s="210" t="s">
        <v>671</v>
      </c>
      <c r="D15" s="211">
        <f t="shared" si="24"/>
        <v>492.863</v>
      </c>
      <c r="E15" s="213">
        <v>0</v>
      </c>
      <c r="F15" s="213">
        <f t="shared" si="25"/>
        <v>476.06299999999999</v>
      </c>
      <c r="G15" s="213">
        <v>16.8</v>
      </c>
      <c r="H15" s="213">
        <v>1.2999999999999999E-2</v>
      </c>
      <c r="I15" s="214"/>
      <c r="L15" s="209" t="s">
        <v>670</v>
      </c>
      <c r="M15" s="210" t="s">
        <v>74</v>
      </c>
      <c r="N15" s="217">
        <f t="shared" si="26"/>
        <v>0</v>
      </c>
      <c r="O15" s="217">
        <f t="shared" si="19"/>
        <v>0.96591344856481409</v>
      </c>
      <c r="P15" s="217">
        <f t="shared" si="20"/>
        <v>3.4086551435185845E-2</v>
      </c>
      <c r="Q15" s="217">
        <f t="shared" si="21"/>
        <v>2.6376498134369995E-5</v>
      </c>
      <c r="AD15" s="316"/>
      <c r="AE15" s="48">
        <f>AE14-AF14</f>
        <v>309.06999999999971</v>
      </c>
      <c r="AF15" s="48">
        <f t="shared" ref="AF15:AI15" si="27">AF14-AG14</f>
        <v>25296.993879561422</v>
      </c>
      <c r="AG15" s="48">
        <f t="shared" si="27"/>
        <v>14.251937138108758</v>
      </c>
      <c r="AH15" s="48">
        <f t="shared" si="27"/>
        <v>13.16157059374342</v>
      </c>
      <c r="AI15" s="48">
        <f t="shared" si="27"/>
        <v>477.68261270672548</v>
      </c>
      <c r="AM15" s="316"/>
      <c r="AN15" s="48">
        <f>AN14-AO14</f>
        <v>287</v>
      </c>
      <c r="AO15" s="48">
        <f t="shared" ref="AO15" si="28">AO14-AP14</f>
        <v>15494.788120438578</v>
      </c>
      <c r="AP15" s="48">
        <f t="shared" ref="AP15" si="29">AP14-AQ14</f>
        <v>8.6480628618912192</v>
      </c>
      <c r="AQ15" s="48">
        <f t="shared" ref="AQ15" si="30">AQ14-AR14</f>
        <v>7.9864294062565477</v>
      </c>
      <c r="AR15" s="48">
        <f t="shared" ref="AR15" si="31">AR14-AS14</f>
        <v>289.8573872932746</v>
      </c>
    </row>
    <row r="16" spans="2:45" x14ac:dyDescent="0.35">
      <c r="B16" s="59" t="s">
        <v>672</v>
      </c>
      <c r="C16" s="5" t="s">
        <v>673</v>
      </c>
      <c r="D16" s="8">
        <f t="shared" si="24"/>
        <v>16088.28</v>
      </c>
      <c r="E16" s="208">
        <v>0</v>
      </c>
      <c r="F16" s="208">
        <f t="shared" si="25"/>
        <v>15801.28</v>
      </c>
      <c r="G16" s="208">
        <v>287</v>
      </c>
      <c r="H16" s="208">
        <v>0.26400000000000001</v>
      </c>
      <c r="I16" s="214"/>
      <c r="L16" s="59" t="s">
        <v>672</v>
      </c>
      <c r="M16" s="5" t="s">
        <v>74</v>
      </c>
      <c r="N16" s="23">
        <f t="shared" si="26"/>
        <v>0</v>
      </c>
      <c r="O16" s="23">
        <f t="shared" si="19"/>
        <v>0.98216092708480951</v>
      </c>
      <c r="P16" s="23">
        <f t="shared" si="20"/>
        <v>1.7839072915190435E-2</v>
      </c>
      <c r="Q16" s="23">
        <f t="shared" si="21"/>
        <v>1.6409460800035802E-5</v>
      </c>
      <c r="AD16" s="172" t="s">
        <v>721</v>
      </c>
      <c r="AE16" s="320">
        <f>AE15/$AE$14</f>
        <v>1.1836701241921068E-2</v>
      </c>
      <c r="AF16" s="320">
        <f t="shared" ref="AF16:AI16" si="32">AF15/$AE$14</f>
        <v>0.9688192282365633</v>
      </c>
      <c r="AG16" s="320">
        <f t="shared" si="32"/>
        <v>5.4581784716223856E-4</v>
      </c>
      <c r="AH16" s="320">
        <f t="shared" si="32"/>
        <v>5.0405920662825471E-4</v>
      </c>
      <c r="AI16" s="320">
        <f t="shared" si="32"/>
        <v>1.8294193467725123E-2</v>
      </c>
      <c r="AJ16" s="317">
        <f>SUM(AE16:AI16)</f>
        <v>0.99999999999999989</v>
      </c>
      <c r="AM16" s="172" t="s">
        <v>721</v>
      </c>
      <c r="AN16" s="320">
        <f>AN15/$AN$14</f>
        <v>1.7839072915190435E-2</v>
      </c>
      <c r="AO16" s="320">
        <f t="shared" ref="AO16:AR16" si="33">AO15/$AN$14</f>
        <v>0.96311029646665625</v>
      </c>
      <c r="AP16" s="320">
        <f t="shared" si="33"/>
        <v>5.3753806260776289E-4</v>
      </c>
      <c r="AQ16" s="320">
        <f t="shared" si="33"/>
        <v>4.9641287982659103E-4</v>
      </c>
      <c r="AR16" s="320">
        <f t="shared" si="33"/>
        <v>1.8016679675718884E-2</v>
      </c>
      <c r="AS16" s="317">
        <f>SUM(AN16:AR16)</f>
        <v>1</v>
      </c>
    </row>
    <row r="18" spans="2:37" ht="16.5" x14ac:dyDescent="0.45">
      <c r="B18" s="315" t="s">
        <v>685</v>
      </c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20" spans="2:37" ht="29" x14ac:dyDescent="0.35">
      <c r="B20" s="207" t="s">
        <v>660</v>
      </c>
      <c r="C20" s="207" t="s">
        <v>477</v>
      </c>
      <c r="D20" s="207" t="s">
        <v>686</v>
      </c>
      <c r="E20" s="207" t="s">
        <v>690</v>
      </c>
      <c r="F20" s="207" t="s">
        <v>680</v>
      </c>
      <c r="G20" s="207" t="s">
        <v>665</v>
      </c>
      <c r="H20" s="207" t="s">
        <v>687</v>
      </c>
      <c r="I20" s="207" t="s">
        <v>691</v>
      </c>
      <c r="J20" s="207" t="s">
        <v>680</v>
      </c>
      <c r="K20" s="207" t="s">
        <v>665</v>
      </c>
      <c r="M20" s="169" t="s">
        <v>660</v>
      </c>
      <c r="N20" s="169" t="s">
        <v>477</v>
      </c>
      <c r="O20" s="207" t="s">
        <v>683</v>
      </c>
      <c r="P20" s="207" t="s">
        <v>680</v>
      </c>
      <c r="Q20" s="207" t="s">
        <v>665</v>
      </c>
      <c r="R20" s="207" t="s">
        <v>684</v>
      </c>
      <c r="S20" s="207" t="s">
        <v>680</v>
      </c>
      <c r="T20" s="207" t="s">
        <v>665</v>
      </c>
    </row>
    <row r="21" spans="2:37" x14ac:dyDescent="0.35">
      <c r="B21" s="59" t="s">
        <v>666</v>
      </c>
      <c r="C21" s="28" t="s">
        <v>667</v>
      </c>
      <c r="D21" s="8">
        <f>SUM(E21:G21)</f>
        <v>2.8506080000000001E-4</v>
      </c>
      <c r="E21" s="208">
        <v>0</v>
      </c>
      <c r="F21" s="208">
        <v>2.8499999999999999E-4</v>
      </c>
      <c r="G21" s="208">
        <v>6.0800000000000002E-8</v>
      </c>
      <c r="H21" s="8">
        <f>SUM(I21:K21)</f>
        <v>4.6509930000000001E-4</v>
      </c>
      <c r="I21" s="208">
        <v>0</v>
      </c>
      <c r="J21" s="208">
        <v>4.6500000000000003E-4</v>
      </c>
      <c r="K21" s="208">
        <v>9.9299999999999996E-8</v>
      </c>
      <c r="M21" s="59" t="s">
        <v>666</v>
      </c>
      <c r="N21" s="5" t="s">
        <v>74</v>
      </c>
      <c r="O21" s="23">
        <f>E21/$D21</f>
        <v>0</v>
      </c>
      <c r="P21" s="23">
        <f t="shared" ref="P21:Q24" si="34">F21/$D21</f>
        <v>0.99978671216807069</v>
      </c>
      <c r="Q21" s="23">
        <f t="shared" si="34"/>
        <v>2.1328783192918843E-4</v>
      </c>
      <c r="R21" s="23">
        <f>I21/$H21</f>
        <v>0</v>
      </c>
      <c r="S21" s="23">
        <f t="shared" ref="S21:T24" si="35">J21/$H21</f>
        <v>0.99978649720608059</v>
      </c>
      <c r="T21" s="23">
        <f t="shared" si="35"/>
        <v>2.1350279391949201E-4</v>
      </c>
      <c r="AK21" t="s">
        <v>717</v>
      </c>
    </row>
    <row r="22" spans="2:37" ht="16.5" x14ac:dyDescent="0.35">
      <c r="B22" s="59" t="s">
        <v>668</v>
      </c>
      <c r="C22" s="28" t="s">
        <v>669</v>
      </c>
      <c r="D22" s="8">
        <f t="shared" ref="D22:D24" si="36">SUM(E22:G22)</f>
        <v>15.208769999999999</v>
      </c>
      <c r="E22" s="208">
        <v>0</v>
      </c>
      <c r="F22" s="208">
        <v>15.2</v>
      </c>
      <c r="G22" s="208">
        <v>8.77E-3</v>
      </c>
      <c r="H22" s="8">
        <f t="shared" ref="H22:H24" si="37">SUM(I22:K22)</f>
        <v>24.814299999999999</v>
      </c>
      <c r="I22" s="208">
        <v>0</v>
      </c>
      <c r="J22" s="208">
        <v>24.8</v>
      </c>
      <c r="K22" s="208">
        <v>1.43E-2</v>
      </c>
      <c r="M22" s="59" t="s">
        <v>668</v>
      </c>
      <c r="N22" s="5" t="s">
        <v>74</v>
      </c>
      <c r="O22" s="23">
        <f>E22/$D22</f>
        <v>0</v>
      </c>
      <c r="P22" s="23">
        <f t="shared" si="34"/>
        <v>0.99942335902245871</v>
      </c>
      <c r="Q22" s="23">
        <f t="shared" si="34"/>
        <v>5.7664097754124761E-4</v>
      </c>
      <c r="R22" s="23">
        <f t="shared" ref="R22:R24" si="38">I22/$H22</f>
        <v>0</v>
      </c>
      <c r="S22" s="23">
        <f t="shared" si="35"/>
        <v>0.99942371938761121</v>
      </c>
      <c r="T22" s="23">
        <f t="shared" si="35"/>
        <v>5.762806123888242E-4</v>
      </c>
      <c r="AK22" t="s">
        <v>666</v>
      </c>
    </row>
    <row r="23" spans="2:37" ht="16.5" x14ac:dyDescent="0.45">
      <c r="B23" s="209" t="s">
        <v>670</v>
      </c>
      <c r="C23" s="210" t="s">
        <v>671</v>
      </c>
      <c r="D23" s="211">
        <f t="shared" si="36"/>
        <v>476.06299999999999</v>
      </c>
      <c r="E23" s="213">
        <v>0</v>
      </c>
      <c r="F23" s="213">
        <v>476</v>
      </c>
      <c r="G23" s="213">
        <v>6.3E-2</v>
      </c>
      <c r="H23" s="211">
        <f t="shared" si="37"/>
        <v>777.10299999999995</v>
      </c>
      <c r="I23" s="213">
        <v>0</v>
      </c>
      <c r="J23" s="213">
        <v>777</v>
      </c>
      <c r="K23" s="213">
        <v>0.10299999999999999</v>
      </c>
      <c r="L23" s="214">
        <f>D23+H23</f>
        <v>1253.1659999999999</v>
      </c>
      <c r="M23" s="209" t="s">
        <v>670</v>
      </c>
      <c r="N23" s="210" t="s">
        <v>74</v>
      </c>
      <c r="O23" s="217">
        <f>E23/$D23</f>
        <v>0</v>
      </c>
      <c r="P23" s="217">
        <f t="shared" si="34"/>
        <v>0.99986766457380638</v>
      </c>
      <c r="Q23" s="217">
        <f t="shared" si="34"/>
        <v>1.3233542619359203E-4</v>
      </c>
      <c r="R23" s="217">
        <f t="shared" si="38"/>
        <v>0</v>
      </c>
      <c r="S23" s="217">
        <f t="shared" si="35"/>
        <v>0.9998674564375637</v>
      </c>
      <c r="T23" s="217">
        <f t="shared" si="35"/>
        <v>1.3254356243638232E-4</v>
      </c>
      <c r="AK23" t="s">
        <v>668</v>
      </c>
    </row>
    <row r="24" spans="2:37" x14ac:dyDescent="0.35">
      <c r="B24" s="59" t="s">
        <v>672</v>
      </c>
      <c r="C24" s="5" t="s">
        <v>673</v>
      </c>
      <c r="D24" s="8">
        <f t="shared" si="36"/>
        <v>15801.28</v>
      </c>
      <c r="E24" s="208">
        <v>0</v>
      </c>
      <c r="F24" s="208">
        <v>15800</v>
      </c>
      <c r="G24" s="208">
        <v>1.28</v>
      </c>
      <c r="H24" s="8">
        <f t="shared" si="37"/>
        <v>25802.09</v>
      </c>
      <c r="I24" s="208">
        <v>0</v>
      </c>
      <c r="J24" s="208">
        <v>25800</v>
      </c>
      <c r="K24" s="208">
        <v>2.09</v>
      </c>
      <c r="M24" s="59" t="s">
        <v>672</v>
      </c>
      <c r="N24" s="5" t="s">
        <v>74</v>
      </c>
      <c r="O24" s="23">
        <f>E24/$D24</f>
        <v>0</v>
      </c>
      <c r="P24" s="23">
        <f t="shared" si="34"/>
        <v>0.99991899390429129</v>
      </c>
      <c r="Q24" s="23">
        <f t="shared" si="34"/>
        <v>8.1006095708702075E-5</v>
      </c>
      <c r="R24" s="23">
        <f t="shared" si="38"/>
        <v>0</v>
      </c>
      <c r="S24" s="23">
        <f t="shared" si="35"/>
        <v>0.9999189988097863</v>
      </c>
      <c r="T24" s="23">
        <f t="shared" si="35"/>
        <v>8.1001190213660977E-5</v>
      </c>
      <c r="AK24" t="s">
        <v>672</v>
      </c>
    </row>
    <row r="26" spans="2:37" ht="16.5" x14ac:dyDescent="0.45">
      <c r="B26" s="315" t="s">
        <v>679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8" spans="2:37" ht="29" x14ac:dyDescent="0.35">
      <c r="B28" s="207" t="s">
        <v>660</v>
      </c>
      <c r="C28" s="207" t="s">
        <v>477</v>
      </c>
      <c r="D28" s="207" t="s">
        <v>15</v>
      </c>
      <c r="E28" s="207" t="s">
        <v>680</v>
      </c>
      <c r="F28" s="207" t="s">
        <v>681</v>
      </c>
      <c r="G28" s="207" t="s">
        <v>297</v>
      </c>
      <c r="H28" s="207" t="s">
        <v>515</v>
      </c>
      <c r="I28" s="207" t="s">
        <v>665</v>
      </c>
      <c r="L28" s="169" t="s">
        <v>660</v>
      </c>
      <c r="M28" s="169" t="s">
        <v>477</v>
      </c>
      <c r="N28" s="207" t="s">
        <v>680</v>
      </c>
      <c r="O28" s="207" t="s">
        <v>681</v>
      </c>
      <c r="P28" s="207" t="s">
        <v>297</v>
      </c>
      <c r="Q28" s="207" t="s">
        <v>515</v>
      </c>
      <c r="R28" s="207" t="s">
        <v>665</v>
      </c>
    </row>
    <row r="29" spans="2:37" x14ac:dyDescent="0.35">
      <c r="B29" s="59" t="s">
        <v>666</v>
      </c>
      <c r="C29" s="28" t="s">
        <v>667</v>
      </c>
      <c r="D29" s="8">
        <f>SUM(E29:I29)</f>
        <v>7.508860014E-4</v>
      </c>
      <c r="E29" s="208">
        <v>0</v>
      </c>
      <c r="F29" s="208">
        <f>D37</f>
        <v>3.6141000000000005E-5</v>
      </c>
      <c r="G29" s="208">
        <v>7.1400000000000001E-4</v>
      </c>
      <c r="H29" s="208">
        <v>1.4000000000000001E-12</v>
      </c>
      <c r="I29" s="208">
        <v>7.4499999999999996E-7</v>
      </c>
      <c r="J29" s="214"/>
      <c r="K29" s="219"/>
      <c r="L29" s="59" t="s">
        <v>666</v>
      </c>
      <c r="M29" s="5" t="s">
        <v>74</v>
      </c>
      <c r="N29" s="23">
        <f>E29/$D29</f>
        <v>0</v>
      </c>
      <c r="O29" s="23">
        <f t="shared" ref="O29:R32" si="39">F29/$D29</f>
        <v>4.8131140988933618E-2</v>
      </c>
      <c r="P29" s="23">
        <f t="shared" si="39"/>
        <v>0.95087669588828749</v>
      </c>
      <c r="Q29" s="23">
        <f t="shared" si="39"/>
        <v>1.8644641095848777E-9</v>
      </c>
      <c r="R29" s="23">
        <f t="shared" si="39"/>
        <v>9.9216125831480973E-4</v>
      </c>
    </row>
    <row r="30" spans="2:37" ht="16.5" x14ac:dyDescent="0.35">
      <c r="B30" s="59" t="s">
        <v>668</v>
      </c>
      <c r="C30" s="28" t="s">
        <v>669</v>
      </c>
      <c r="D30" s="8">
        <f>SUM(E30:I30)</f>
        <v>39.910402160000004</v>
      </c>
      <c r="E30" s="208">
        <v>0</v>
      </c>
      <c r="F30" s="208">
        <f t="shared" ref="F30:F32" si="40">D38</f>
        <v>12.003400000000001</v>
      </c>
      <c r="G30" s="208">
        <v>27.8</v>
      </c>
      <c r="H30" s="208">
        <v>2.1600000000000001E-6</v>
      </c>
      <c r="I30" s="208">
        <v>0.107</v>
      </c>
      <c r="J30" s="214"/>
      <c r="L30" s="59" t="s">
        <v>668</v>
      </c>
      <c r="M30" s="5" t="s">
        <v>74</v>
      </c>
      <c r="N30" s="23">
        <f t="shared" ref="N30:N32" si="41">E30/$D30</f>
        <v>0</v>
      </c>
      <c r="O30" s="23">
        <f t="shared" si="39"/>
        <v>0.30075868320942023</v>
      </c>
      <c r="P30" s="23">
        <f t="shared" si="39"/>
        <v>0.69656025736223748</v>
      </c>
      <c r="Q30" s="23">
        <f t="shared" si="39"/>
        <v>5.4121228629583918E-8</v>
      </c>
      <c r="R30" s="23">
        <f t="shared" si="39"/>
        <v>2.6810053071136476E-3</v>
      </c>
    </row>
    <row r="31" spans="2:37" ht="16.5" x14ac:dyDescent="0.45">
      <c r="B31" s="209" t="s">
        <v>670</v>
      </c>
      <c r="C31" s="210" t="s">
        <v>671</v>
      </c>
      <c r="D31" s="211">
        <f>SUM(E31:I31)</f>
        <v>1258.4177000013799</v>
      </c>
      <c r="E31" s="213">
        <v>0</v>
      </c>
      <c r="F31" s="213">
        <f>D39</f>
        <v>47.646700000000003</v>
      </c>
      <c r="G31" s="213">
        <v>1210</v>
      </c>
      <c r="H31" s="213">
        <v>1.38E-9</v>
      </c>
      <c r="I31" s="213">
        <v>0.77100000000000002</v>
      </c>
      <c r="J31" s="214"/>
      <c r="L31" s="209" t="s">
        <v>670</v>
      </c>
      <c r="M31" s="210" t="s">
        <v>74</v>
      </c>
      <c r="N31" s="217">
        <f t="shared" si="41"/>
        <v>0</v>
      </c>
      <c r="O31" s="217">
        <f t="shared" si="39"/>
        <v>3.7862388617028953E-2</v>
      </c>
      <c r="P31" s="217">
        <f t="shared" si="39"/>
        <v>0.96152493722765753</v>
      </c>
      <c r="Q31" s="217">
        <f t="shared" si="39"/>
        <v>1.0966152176646012E-12</v>
      </c>
      <c r="R31" s="217">
        <f t="shared" si="39"/>
        <v>6.1267415421696202E-4</v>
      </c>
    </row>
    <row r="32" spans="2:37" x14ac:dyDescent="0.35">
      <c r="B32" s="59" t="s">
        <v>672</v>
      </c>
      <c r="C32" s="5" t="s">
        <v>673</v>
      </c>
      <c r="D32" s="8">
        <f>SUM(E32:I32)</f>
        <v>41627.413</v>
      </c>
      <c r="E32" s="208">
        <v>0</v>
      </c>
      <c r="F32" s="208">
        <f t="shared" si="40"/>
        <v>811.58799999999997</v>
      </c>
      <c r="G32" s="208">
        <v>40800</v>
      </c>
      <c r="H32" s="208">
        <v>0.125</v>
      </c>
      <c r="I32" s="208">
        <v>15.7</v>
      </c>
      <c r="J32" s="214"/>
      <c r="L32" s="59" t="s">
        <v>672</v>
      </c>
      <c r="M32" s="5" t="s">
        <v>74</v>
      </c>
      <c r="N32" s="23">
        <f t="shared" si="41"/>
        <v>0</v>
      </c>
      <c r="O32" s="23">
        <f t="shared" si="39"/>
        <v>1.9496479399284311E-2</v>
      </c>
      <c r="P32" s="23">
        <f t="shared" si="39"/>
        <v>0.98012336245829157</v>
      </c>
      <c r="Q32" s="23">
        <f t="shared" si="39"/>
        <v>3.0028289291001579E-6</v>
      </c>
      <c r="R32" s="23">
        <f t="shared" si="39"/>
        <v>3.7715531349497982E-4</v>
      </c>
    </row>
    <row r="34" spans="2:19" ht="16.5" x14ac:dyDescent="0.45">
      <c r="B34" s="315" t="s">
        <v>677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6" spans="2:19" ht="29" x14ac:dyDescent="0.35">
      <c r="B36" s="207" t="s">
        <v>660</v>
      </c>
      <c r="C36" s="207" t="s">
        <v>477</v>
      </c>
      <c r="D36" s="207" t="s">
        <v>15</v>
      </c>
      <c r="E36" s="207" t="s">
        <v>678</v>
      </c>
      <c r="F36" s="207" t="s">
        <v>675</v>
      </c>
      <c r="G36" s="207" t="s">
        <v>665</v>
      </c>
      <c r="L36" s="169" t="s">
        <v>660</v>
      </c>
      <c r="M36" s="169" t="s">
        <v>477</v>
      </c>
      <c r="N36" s="207" t="s">
        <v>678</v>
      </c>
      <c r="O36" s="207" t="s">
        <v>675</v>
      </c>
      <c r="P36" s="207" t="s">
        <v>665</v>
      </c>
    </row>
    <row r="37" spans="2:19" x14ac:dyDescent="0.35">
      <c r="B37" s="59" t="s">
        <v>666</v>
      </c>
      <c r="C37" s="28" t="s">
        <v>667</v>
      </c>
      <c r="D37" s="8">
        <f>SUM(E37:G37)</f>
        <v>3.6141000000000005E-5</v>
      </c>
      <c r="E37" s="208">
        <v>0</v>
      </c>
      <c r="F37" s="208">
        <f>D45</f>
        <v>3.5061000000000002E-5</v>
      </c>
      <c r="G37" s="208">
        <v>1.08E-6</v>
      </c>
      <c r="H37" s="214"/>
      <c r="L37" s="59" t="s">
        <v>666</v>
      </c>
      <c r="M37" s="5" t="s">
        <v>74</v>
      </c>
      <c r="N37" s="23">
        <f>E37/$D37</f>
        <v>0</v>
      </c>
      <c r="O37" s="23">
        <f t="shared" ref="O37:P40" si="42">F37/$D37</f>
        <v>0.97011704158711709</v>
      </c>
      <c r="P37" s="23">
        <f t="shared" si="42"/>
        <v>2.9882958412882871E-2</v>
      </c>
    </row>
    <row r="38" spans="2:19" ht="16.5" x14ac:dyDescent="0.35">
      <c r="B38" s="59" t="s">
        <v>668</v>
      </c>
      <c r="C38" s="28" t="s">
        <v>669</v>
      </c>
      <c r="D38" s="8">
        <f t="shared" ref="D38:D40" si="43">SUM(E38:G38)</f>
        <v>12.003400000000001</v>
      </c>
      <c r="E38" s="208">
        <v>0</v>
      </c>
      <c r="F38" s="208">
        <f t="shared" ref="F38:F40" si="44">D46</f>
        <v>11.8474</v>
      </c>
      <c r="G38" s="208">
        <v>0.156</v>
      </c>
      <c r="H38" s="214"/>
      <c r="L38" s="59" t="s">
        <v>668</v>
      </c>
      <c r="M38" s="5" t="s">
        <v>74</v>
      </c>
      <c r="N38" s="23">
        <f t="shared" ref="N38:N40" si="45">E38/$D38</f>
        <v>0</v>
      </c>
      <c r="O38" s="23">
        <f t="shared" si="42"/>
        <v>0.98700368229001778</v>
      </c>
      <c r="P38" s="23">
        <f t="shared" si="42"/>
        <v>1.2996317709982171E-2</v>
      </c>
    </row>
    <row r="39" spans="2:19" ht="16.5" x14ac:dyDescent="0.45">
      <c r="B39" s="209" t="s">
        <v>670</v>
      </c>
      <c r="C39" s="210" t="s">
        <v>671</v>
      </c>
      <c r="D39" s="211">
        <f t="shared" si="43"/>
        <v>47.646700000000003</v>
      </c>
      <c r="E39" s="213">
        <v>0</v>
      </c>
      <c r="F39" s="213">
        <f t="shared" si="44"/>
        <v>46.526700000000005</v>
      </c>
      <c r="G39" s="213">
        <v>1.1200000000000001</v>
      </c>
      <c r="H39" s="214"/>
      <c r="J39" s="187"/>
      <c r="L39" s="209" t="s">
        <v>670</v>
      </c>
      <c r="M39" s="215" t="s">
        <v>74</v>
      </c>
      <c r="N39" s="218">
        <f t="shared" si="45"/>
        <v>0</v>
      </c>
      <c r="O39" s="218">
        <f t="shared" si="42"/>
        <v>0.97649365013736533</v>
      </c>
      <c r="P39" s="218">
        <f t="shared" si="42"/>
        <v>2.3506349862634768E-2</v>
      </c>
    </row>
    <row r="40" spans="2:19" x14ac:dyDescent="0.35">
      <c r="B40" s="59" t="s">
        <v>672</v>
      </c>
      <c r="C40" s="5" t="s">
        <v>673</v>
      </c>
      <c r="D40" s="8">
        <f t="shared" si="43"/>
        <v>811.58799999999997</v>
      </c>
      <c r="E40" s="208">
        <v>0</v>
      </c>
      <c r="F40" s="208">
        <f t="shared" si="44"/>
        <v>788.68799999999999</v>
      </c>
      <c r="G40" s="208">
        <v>22.9</v>
      </c>
      <c r="H40" s="214"/>
      <c r="L40" s="59" t="s">
        <v>672</v>
      </c>
      <c r="M40" s="5" t="s">
        <v>74</v>
      </c>
      <c r="N40" s="23">
        <f t="shared" si="45"/>
        <v>0</v>
      </c>
      <c r="O40" s="23">
        <f t="shared" si="42"/>
        <v>0.97178371291837728</v>
      </c>
      <c r="P40" s="23">
        <f t="shared" si="42"/>
        <v>2.8216287081622694E-2</v>
      </c>
    </row>
    <row r="42" spans="2:19" ht="16.5" x14ac:dyDescent="0.45">
      <c r="B42" s="315" t="s">
        <v>674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4" spans="2:19" ht="29" x14ac:dyDescent="0.35">
      <c r="B44" s="207" t="s">
        <v>660</v>
      </c>
      <c r="C44" s="207" t="s">
        <v>477</v>
      </c>
      <c r="D44" s="207" t="s">
        <v>15</v>
      </c>
      <c r="E44" s="207" t="s">
        <v>675</v>
      </c>
      <c r="F44" s="207" t="s">
        <v>676</v>
      </c>
      <c r="G44" s="207" t="s">
        <v>665</v>
      </c>
      <c r="H44" s="207" t="s">
        <v>443</v>
      </c>
      <c r="L44" s="169" t="s">
        <v>660</v>
      </c>
      <c r="M44" s="169" t="s">
        <v>477</v>
      </c>
      <c r="N44" s="207" t="s">
        <v>675</v>
      </c>
      <c r="O44" s="207" t="s">
        <v>676</v>
      </c>
      <c r="P44" s="207" t="s">
        <v>665</v>
      </c>
      <c r="Q44" s="207" t="s">
        <v>443</v>
      </c>
    </row>
    <row r="45" spans="2:19" x14ac:dyDescent="0.35">
      <c r="B45" s="59" t="s">
        <v>666</v>
      </c>
      <c r="C45" s="28" t="s">
        <v>667</v>
      </c>
      <c r="D45" s="8">
        <f>SUM(E45:H45)</f>
        <v>3.5061000000000002E-5</v>
      </c>
      <c r="E45" s="208">
        <v>0</v>
      </c>
      <c r="F45" s="208">
        <f>D53</f>
        <v>3.4087000000000001E-5</v>
      </c>
      <c r="G45" s="208">
        <v>1.0300000000000001E-6</v>
      </c>
      <c r="H45" s="208">
        <v>-5.5999999999999999E-8</v>
      </c>
      <c r="I45" s="214">
        <f>SUM(E45:G45)</f>
        <v>3.5117000000000003E-5</v>
      </c>
      <c r="L45" s="59" t="s">
        <v>666</v>
      </c>
      <c r="M45" s="5" t="s">
        <v>74</v>
      </c>
      <c r="N45" s="23">
        <f>E45/$I45</f>
        <v>0</v>
      </c>
      <c r="O45" s="23">
        <f>F45/$I45</f>
        <v>0.97066947632200928</v>
      </c>
      <c r="P45" s="23">
        <f t="shared" ref="O45:Q48" si="46">G45/$I45</f>
        <v>2.9330523677990716E-2</v>
      </c>
      <c r="Q45" s="23">
        <f>H45/$I45</f>
        <v>-1.5946692485121164E-3</v>
      </c>
    </row>
    <row r="46" spans="2:19" ht="16.5" x14ac:dyDescent="0.35">
      <c r="B46" s="59" t="s">
        <v>668</v>
      </c>
      <c r="C46" s="28" t="s">
        <v>669</v>
      </c>
      <c r="D46" s="8">
        <f t="shared" ref="D46:D48" si="47">SUM(E46:H46)</f>
        <v>11.8474</v>
      </c>
      <c r="E46" s="208">
        <v>0</v>
      </c>
      <c r="F46" s="208">
        <f t="shared" ref="F46:F48" si="48">D54</f>
        <v>11.733000000000001</v>
      </c>
      <c r="G46" s="208">
        <v>0.14899999999999999</v>
      </c>
      <c r="H46" s="208">
        <v>-3.4599999999999999E-2</v>
      </c>
      <c r="I46" s="214">
        <f t="shared" ref="I46:I48" si="49">SUM(E46:G46)</f>
        <v>11.882</v>
      </c>
      <c r="L46" s="59" t="s">
        <v>668</v>
      </c>
      <c r="M46" s="5" t="s">
        <v>74</v>
      </c>
      <c r="N46" s="23">
        <f t="shared" ref="N46:N48" si="50">E46/$I46</f>
        <v>0</v>
      </c>
      <c r="O46" s="23">
        <f t="shared" si="46"/>
        <v>0.98746002356505647</v>
      </c>
      <c r="P46" s="23">
        <f t="shared" si="46"/>
        <v>1.2539976434943612E-2</v>
      </c>
      <c r="Q46" s="23">
        <f t="shared" si="46"/>
        <v>-2.9119676822083823E-3</v>
      </c>
    </row>
    <row r="47" spans="2:19" ht="16.5" x14ac:dyDescent="0.45">
      <c r="B47" s="209" t="s">
        <v>670</v>
      </c>
      <c r="C47" s="210" t="s">
        <v>671</v>
      </c>
      <c r="D47" s="211">
        <f t="shared" si="47"/>
        <v>46.526700000000005</v>
      </c>
      <c r="E47" s="213">
        <v>0</v>
      </c>
      <c r="F47" s="213">
        <f t="shared" si="48"/>
        <v>45.514000000000003</v>
      </c>
      <c r="G47" s="213">
        <v>1.07</v>
      </c>
      <c r="H47" s="213">
        <v>-5.7299999999999997E-2</v>
      </c>
      <c r="I47" s="214">
        <f t="shared" si="49"/>
        <v>46.584000000000003</v>
      </c>
      <c r="J47" s="187"/>
      <c r="L47" s="209" t="s">
        <v>670</v>
      </c>
      <c r="M47" s="210" t="s">
        <v>74</v>
      </c>
      <c r="N47" s="217">
        <f t="shared" si="50"/>
        <v>0</v>
      </c>
      <c r="O47" s="217">
        <f t="shared" si="46"/>
        <v>0.97703074016829816</v>
      </c>
      <c r="P47" s="217">
        <f t="shared" si="46"/>
        <v>2.2969259831701873E-2</v>
      </c>
      <c r="Q47" s="217">
        <f t="shared" si="46"/>
        <v>-1.2300360638845954E-3</v>
      </c>
    </row>
    <row r="48" spans="2:19" x14ac:dyDescent="0.35">
      <c r="B48" s="59" t="s">
        <v>672</v>
      </c>
      <c r="C48" s="5" t="s">
        <v>673</v>
      </c>
      <c r="D48" s="8">
        <f t="shared" si="47"/>
        <v>788.68799999999999</v>
      </c>
      <c r="E48" s="208">
        <v>0</v>
      </c>
      <c r="F48" s="208">
        <f t="shared" si="48"/>
        <v>767.54000000000008</v>
      </c>
      <c r="G48" s="208">
        <v>21.8</v>
      </c>
      <c r="H48" s="208">
        <v>-0.65200000000000002</v>
      </c>
      <c r="I48" s="214">
        <f t="shared" si="49"/>
        <v>789.34</v>
      </c>
      <c r="L48" s="59" t="s">
        <v>672</v>
      </c>
      <c r="M48" s="5" t="s">
        <v>74</v>
      </c>
      <c r="N48" s="23">
        <f t="shared" si="50"/>
        <v>0</v>
      </c>
      <c r="O48" s="23">
        <f t="shared" si="46"/>
        <v>0.97238199001697623</v>
      </c>
      <c r="P48" s="23">
        <f t="shared" si="46"/>
        <v>2.7618009983023793E-2</v>
      </c>
      <c r="Q48" s="23">
        <f t="shared" si="46"/>
        <v>-8.2600653710695007E-4</v>
      </c>
    </row>
    <row r="50" spans="2:21" ht="16.5" x14ac:dyDescent="0.45">
      <c r="B50" s="315" t="s">
        <v>659</v>
      </c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2" spans="2:21" ht="29" x14ac:dyDescent="0.35">
      <c r="B52" s="207" t="s">
        <v>660</v>
      </c>
      <c r="C52" s="207" t="s">
        <v>477</v>
      </c>
      <c r="D52" s="207" t="s">
        <v>15</v>
      </c>
      <c r="E52" s="207" t="s">
        <v>661</v>
      </c>
      <c r="F52" s="207" t="s">
        <v>662</v>
      </c>
      <c r="G52" s="207" t="s">
        <v>663</v>
      </c>
      <c r="H52" s="207" t="s">
        <v>284</v>
      </c>
      <c r="I52" s="207" t="s">
        <v>664</v>
      </c>
      <c r="J52" s="207" t="s">
        <v>665</v>
      </c>
      <c r="L52" s="169" t="s">
        <v>660</v>
      </c>
      <c r="M52" s="169" t="s">
        <v>477</v>
      </c>
      <c r="N52" s="207" t="s">
        <v>661</v>
      </c>
      <c r="O52" s="207" t="s">
        <v>662</v>
      </c>
      <c r="P52" s="207" t="s">
        <v>663</v>
      </c>
      <c r="Q52" s="207" t="s">
        <v>284</v>
      </c>
      <c r="R52" s="207" t="s">
        <v>664</v>
      </c>
      <c r="S52" s="207" t="s">
        <v>665</v>
      </c>
    </row>
    <row r="53" spans="2:21" x14ac:dyDescent="0.35">
      <c r="B53" s="59" t="s">
        <v>666</v>
      </c>
      <c r="C53" s="28" t="s">
        <v>667</v>
      </c>
      <c r="D53" s="8">
        <f>SUM(F53:J53)</f>
        <v>3.4087000000000001E-5</v>
      </c>
      <c r="E53" s="208">
        <v>0</v>
      </c>
      <c r="F53" s="208">
        <v>5.6799999999999998E-6</v>
      </c>
      <c r="G53" s="208">
        <v>1.17E-5</v>
      </c>
      <c r="H53" s="208">
        <v>4.5299999999999998E-6</v>
      </c>
      <c r="I53" s="208">
        <v>9.7699999999999992E-7</v>
      </c>
      <c r="J53" s="208">
        <v>1.1199999999999999E-5</v>
      </c>
      <c r="L53" s="59" t="s">
        <v>666</v>
      </c>
      <c r="M53" s="5" t="s">
        <v>74</v>
      </c>
      <c r="N53" s="23">
        <f t="shared" ref="N53:Q56" si="51">E53/$D53</f>
        <v>0</v>
      </c>
      <c r="O53" s="23">
        <f t="shared" si="51"/>
        <v>0.16663244051984627</v>
      </c>
      <c r="P53" s="23">
        <f t="shared" si="51"/>
        <v>0.34323935811306361</v>
      </c>
      <c r="Q53" s="23">
        <f t="shared" si="51"/>
        <v>0.13289523865403233</v>
      </c>
      <c r="R53" s="23">
        <f t="shared" ref="R53:R56" si="52">I53/$D53</f>
        <v>2.8661953237304541E-2</v>
      </c>
      <c r="S53" s="23">
        <f t="shared" ref="S53:S56" si="53">J53/$D53</f>
        <v>0.32857100947575318</v>
      </c>
    </row>
    <row r="54" spans="2:21" ht="16.5" x14ac:dyDescent="0.35">
      <c r="B54" s="59" t="s">
        <v>668</v>
      </c>
      <c r="C54" s="28" t="s">
        <v>669</v>
      </c>
      <c r="D54" s="8">
        <f>SUM(F54:J54)</f>
        <v>11.733000000000001</v>
      </c>
      <c r="E54" s="208">
        <v>0</v>
      </c>
      <c r="F54" s="208">
        <v>5.88</v>
      </c>
      <c r="G54" s="208">
        <v>3.28</v>
      </c>
      <c r="H54" s="208">
        <v>0.84499999999999997</v>
      </c>
      <c r="I54" s="208">
        <v>0.11799999999999999</v>
      </c>
      <c r="J54" s="208">
        <v>1.61</v>
      </c>
      <c r="L54" s="59" t="s">
        <v>668</v>
      </c>
      <c r="M54" s="5" t="s">
        <v>74</v>
      </c>
      <c r="N54" s="23">
        <f t="shared" si="51"/>
        <v>0</v>
      </c>
      <c r="O54" s="23">
        <f>F54/$D54</f>
        <v>0.50115060086934282</v>
      </c>
      <c r="P54" s="23">
        <f t="shared" si="51"/>
        <v>0.2795533964033069</v>
      </c>
      <c r="Q54" s="23">
        <f t="shared" si="51"/>
        <v>7.2019091451461681E-2</v>
      </c>
      <c r="R54" s="23">
        <f t="shared" si="52"/>
        <v>1.0057103894997015E-2</v>
      </c>
      <c r="S54" s="23">
        <f t="shared" si="53"/>
        <v>0.13721980738089151</v>
      </c>
    </row>
    <row r="55" spans="2:21" ht="16.5" x14ac:dyDescent="0.45">
      <c r="B55" s="209" t="s">
        <v>670</v>
      </c>
      <c r="C55" s="210" t="s">
        <v>671</v>
      </c>
      <c r="D55" s="211">
        <f>SUM(F55:J55)</f>
        <v>45.514000000000003</v>
      </c>
      <c r="E55" s="212">
        <v>13.973000000000001</v>
      </c>
      <c r="F55" s="213">
        <v>10.4</v>
      </c>
      <c r="G55" s="213">
        <v>18.8</v>
      </c>
      <c r="H55" s="213">
        <v>4.1900000000000004</v>
      </c>
      <c r="I55" s="213">
        <v>0.52400000000000002</v>
      </c>
      <c r="J55" s="213">
        <v>11.6</v>
      </c>
      <c r="K55" s="187"/>
      <c r="L55" s="209" t="s">
        <v>670</v>
      </c>
      <c r="M55" s="210" t="s">
        <v>74</v>
      </c>
      <c r="N55" s="23">
        <f t="shared" si="51"/>
        <v>0.30700443819484113</v>
      </c>
      <c r="O55" s="217">
        <f t="shared" si="51"/>
        <v>0.22850112053434107</v>
      </c>
      <c r="P55" s="217">
        <f t="shared" si="51"/>
        <v>0.4130597178890012</v>
      </c>
      <c r="Q55" s="217">
        <f t="shared" si="51"/>
        <v>9.205958606143165E-2</v>
      </c>
      <c r="R55" s="217">
        <f t="shared" si="52"/>
        <v>1.1512941073076415E-2</v>
      </c>
      <c r="S55" s="217">
        <f t="shared" si="53"/>
        <v>0.25486663444214963</v>
      </c>
    </row>
    <row r="56" spans="2:21" x14ac:dyDescent="0.35">
      <c r="B56" s="59" t="s">
        <v>672</v>
      </c>
      <c r="C56" s="5" t="s">
        <v>673</v>
      </c>
      <c r="D56" s="8">
        <f>SUM(F56:J56)</f>
        <v>767.54000000000008</v>
      </c>
      <c r="E56" s="208">
        <v>0</v>
      </c>
      <c r="F56" s="208">
        <v>169</v>
      </c>
      <c r="G56" s="208">
        <v>280</v>
      </c>
      <c r="H56" s="208">
        <v>74.599999999999994</v>
      </c>
      <c r="I56" s="208">
        <v>7.94</v>
      </c>
      <c r="J56" s="208">
        <v>236</v>
      </c>
      <c r="L56" s="59" t="s">
        <v>672</v>
      </c>
      <c r="M56" s="5" t="s">
        <v>74</v>
      </c>
      <c r="N56" s="23">
        <f t="shared" si="51"/>
        <v>0</v>
      </c>
      <c r="O56" s="23">
        <f t="shared" si="51"/>
        <v>0.22018396435364929</v>
      </c>
      <c r="P56" s="23">
        <f t="shared" si="51"/>
        <v>0.3648018344320817</v>
      </c>
      <c r="Q56" s="23">
        <f t="shared" si="51"/>
        <v>9.7193631602261757E-2</v>
      </c>
      <c r="R56" s="23">
        <f t="shared" si="52"/>
        <v>1.0344737733538317E-2</v>
      </c>
      <c r="S56" s="23">
        <f t="shared" si="53"/>
        <v>0.30747583187846883</v>
      </c>
    </row>
    <row r="58" spans="2:21" s="166" customFormat="1" ht="15" thickBot="1" x14ac:dyDescent="0.4"/>
    <row r="60" spans="2:21" ht="16.5" x14ac:dyDescent="0.45">
      <c r="B60" s="315" t="s">
        <v>692</v>
      </c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2" spans="2:21" ht="29" x14ac:dyDescent="0.35">
      <c r="B62" s="207" t="s">
        <v>660</v>
      </c>
      <c r="C62" s="207" t="s">
        <v>477</v>
      </c>
      <c r="D62" s="207" t="s">
        <v>15</v>
      </c>
      <c r="E62" s="207" t="s">
        <v>684</v>
      </c>
      <c r="F62" s="207" t="s">
        <v>691</v>
      </c>
      <c r="G62" s="207" t="s">
        <v>689</v>
      </c>
      <c r="H62" s="207" t="s">
        <v>693</v>
      </c>
      <c r="I62" s="207" t="s">
        <v>292</v>
      </c>
      <c r="J62" s="207" t="s">
        <v>515</v>
      </c>
      <c r="K62" s="207" t="s">
        <v>665</v>
      </c>
      <c r="M62" s="207" t="s">
        <v>660</v>
      </c>
      <c r="N62" s="207" t="s">
        <v>477</v>
      </c>
      <c r="O62" s="207" t="s">
        <v>684</v>
      </c>
      <c r="P62" s="207" t="s">
        <v>691</v>
      </c>
      <c r="Q62" s="207" t="s">
        <v>689</v>
      </c>
      <c r="R62" s="207" t="s">
        <v>693</v>
      </c>
      <c r="S62" s="207" t="s">
        <v>292</v>
      </c>
      <c r="T62" s="207" t="s">
        <v>515</v>
      </c>
      <c r="U62" s="207" t="s">
        <v>665</v>
      </c>
    </row>
    <row r="63" spans="2:21" ht="16.5" x14ac:dyDescent="0.45">
      <c r="B63" s="59" t="s">
        <v>695</v>
      </c>
      <c r="C63" s="5" t="s">
        <v>696</v>
      </c>
      <c r="D63" s="8">
        <f>SUM(E63:K63)</f>
        <v>36.466999007109997</v>
      </c>
      <c r="E63" s="208">
        <v>0</v>
      </c>
      <c r="F63" s="208">
        <f>H101</f>
        <v>36.201560000000001</v>
      </c>
      <c r="G63" s="208">
        <v>1.3899999999999999E-4</v>
      </c>
      <c r="H63" s="208">
        <v>0</v>
      </c>
      <c r="I63" s="208">
        <v>0.23899999999999999</v>
      </c>
      <c r="J63" s="208">
        <v>7.1099999999999996E-9</v>
      </c>
      <c r="K63" s="208">
        <v>2.63E-2</v>
      </c>
      <c r="M63" s="59" t="s">
        <v>695</v>
      </c>
      <c r="N63" s="5" t="s">
        <v>74</v>
      </c>
      <c r="O63" s="23">
        <f>E63/$D63</f>
        <v>0</v>
      </c>
      <c r="P63" s="23">
        <f t="shared" ref="P63:U77" si="54">F63/$D63</f>
        <v>0.99272111732971924</v>
      </c>
      <c r="Q63" s="23">
        <f t="shared" si="54"/>
        <v>3.8116654450479749E-6</v>
      </c>
      <c r="R63" s="23">
        <f t="shared" si="54"/>
        <v>0</v>
      </c>
      <c r="S63" s="23">
        <f t="shared" si="54"/>
        <v>6.5538708011975977E-3</v>
      </c>
      <c r="T63" s="23">
        <f t="shared" si="54"/>
        <v>1.9497080082223815E-10</v>
      </c>
      <c r="U63" s="23">
        <f t="shared" si="54"/>
        <v>7.2120000866735077E-4</v>
      </c>
    </row>
    <row r="64" spans="2:21" ht="16.5" x14ac:dyDescent="0.45">
      <c r="B64" s="59" t="s">
        <v>697</v>
      </c>
      <c r="C64" s="5" t="s">
        <v>696</v>
      </c>
      <c r="D64" s="8">
        <f t="shared" ref="D64:D77" si="55">SUM(E64:K64)</f>
        <v>3.1410721520000005</v>
      </c>
      <c r="E64" s="208">
        <v>0</v>
      </c>
      <c r="F64" s="208">
        <f t="shared" ref="F64:F77" si="56">H102</f>
        <v>2.0605890000000002</v>
      </c>
      <c r="G64" s="208">
        <v>5.6300000000000002E-4</v>
      </c>
      <c r="H64" s="208">
        <v>0</v>
      </c>
      <c r="I64" s="208">
        <v>1.07</v>
      </c>
      <c r="J64" s="208">
        <v>1.5200000000000001E-7</v>
      </c>
      <c r="K64" s="208">
        <v>9.92E-3</v>
      </c>
      <c r="M64" s="59" t="s">
        <v>697</v>
      </c>
      <c r="N64" s="5" t="s">
        <v>74</v>
      </c>
      <c r="O64" s="23">
        <f t="shared" ref="O64:O77" si="57">E64/$D64</f>
        <v>0</v>
      </c>
      <c r="P64" s="23">
        <f t="shared" si="54"/>
        <v>0.65601453907640128</v>
      </c>
      <c r="Q64" s="23">
        <f t="shared" si="54"/>
        <v>1.7923816224390887E-4</v>
      </c>
      <c r="R64" s="23">
        <f t="shared" si="54"/>
        <v>0</v>
      </c>
      <c r="S64" s="23">
        <f t="shared" si="54"/>
        <v>0.34064801705325487</v>
      </c>
      <c r="T64" s="23">
        <f t="shared" si="54"/>
        <v>4.8391120179527791E-8</v>
      </c>
      <c r="U64" s="23">
        <f t="shared" si="54"/>
        <v>3.1581573169797085E-3</v>
      </c>
    </row>
    <row r="65" spans="2:21" x14ac:dyDescent="0.35">
      <c r="B65" s="59" t="s">
        <v>698</v>
      </c>
      <c r="C65" s="5" t="s">
        <v>699</v>
      </c>
      <c r="D65" s="8">
        <f t="shared" si="55"/>
        <v>0.53274550204999993</v>
      </c>
      <c r="E65" s="208">
        <v>0</v>
      </c>
      <c r="F65" s="208">
        <f t="shared" si="56"/>
        <v>0.50913200000000003</v>
      </c>
      <c r="G65" s="208">
        <v>1.0499999999999999E-3</v>
      </c>
      <c r="H65" s="208">
        <v>4.35E-5</v>
      </c>
      <c r="I65" s="208">
        <v>2.0299999999999999E-2</v>
      </c>
      <c r="J65" s="208">
        <v>2.0500000000000002E-9</v>
      </c>
      <c r="K65" s="208">
        <v>2.2200000000000002E-3</v>
      </c>
      <c r="M65" s="59" t="s">
        <v>698</v>
      </c>
      <c r="N65" s="5" t="s">
        <v>74</v>
      </c>
      <c r="O65" s="23">
        <f t="shared" si="57"/>
        <v>0</v>
      </c>
      <c r="P65" s="23">
        <f t="shared" si="54"/>
        <v>0.95567583028080882</v>
      </c>
      <c r="Q65" s="23">
        <f t="shared" si="54"/>
        <v>1.9709223183670427E-3</v>
      </c>
      <c r="R65" s="23">
        <f t="shared" si="54"/>
        <v>8.1652496046634633E-5</v>
      </c>
      <c r="S65" s="23">
        <f t="shared" si="54"/>
        <v>3.8104498155096159E-2</v>
      </c>
      <c r="T65" s="23">
        <f t="shared" si="54"/>
        <v>3.8479911930023221E-9</v>
      </c>
      <c r="U65" s="23">
        <f t="shared" si="54"/>
        <v>4.1670929016903195E-3</v>
      </c>
    </row>
    <row r="66" spans="2:21" x14ac:dyDescent="0.35">
      <c r="B66" s="59" t="s">
        <v>700</v>
      </c>
      <c r="C66" s="5" t="s">
        <v>701</v>
      </c>
      <c r="D66" s="8">
        <f t="shared" si="55"/>
        <v>989.91140000000007</v>
      </c>
      <c r="E66" s="208">
        <v>0</v>
      </c>
      <c r="F66" s="208">
        <f t="shared" si="56"/>
        <v>806.7</v>
      </c>
      <c r="G66" s="208">
        <v>1.01</v>
      </c>
      <c r="H66" s="208">
        <v>0</v>
      </c>
      <c r="I66" s="208">
        <v>103</v>
      </c>
      <c r="J66" s="208">
        <v>1.4E-3</v>
      </c>
      <c r="K66" s="208">
        <v>79.2</v>
      </c>
      <c r="M66" s="59" t="s">
        <v>700</v>
      </c>
      <c r="N66" s="5" t="s">
        <v>74</v>
      </c>
      <c r="O66" s="23">
        <f t="shared" si="57"/>
        <v>0</v>
      </c>
      <c r="P66" s="23">
        <f t="shared" si="54"/>
        <v>0.81492141619947001</v>
      </c>
      <c r="Q66" s="23">
        <f t="shared" si="54"/>
        <v>1.020293331302175E-3</v>
      </c>
      <c r="R66" s="23">
        <f t="shared" si="54"/>
        <v>0</v>
      </c>
      <c r="S66" s="23">
        <f t="shared" si="54"/>
        <v>0.10404971596447923</v>
      </c>
      <c r="T66" s="23">
        <f t="shared" si="54"/>
        <v>1.4142679839832129E-6</v>
      </c>
      <c r="U66" s="23">
        <f t="shared" si="54"/>
        <v>8.0007160236764616E-2</v>
      </c>
    </row>
    <row r="67" spans="2:21" x14ac:dyDescent="0.35">
      <c r="B67" s="59" t="s">
        <v>702</v>
      </c>
      <c r="C67" s="5" t="s">
        <v>703</v>
      </c>
      <c r="D67" s="8">
        <f t="shared" si="55"/>
        <v>5.5113000000050602E-6</v>
      </c>
      <c r="E67" s="208">
        <v>0</v>
      </c>
      <c r="F67" s="208">
        <f t="shared" si="56"/>
        <v>4.0040000000000001E-6</v>
      </c>
      <c r="G67" s="208">
        <v>2.2999999999999999E-9</v>
      </c>
      <c r="H67" s="208">
        <v>0</v>
      </c>
      <c r="I67" s="208">
        <v>1.2699999999999999E-6</v>
      </c>
      <c r="J67" s="208">
        <v>5.06E-18</v>
      </c>
      <c r="K67" s="208">
        <v>2.35E-7</v>
      </c>
      <c r="M67" s="59" t="s">
        <v>702</v>
      </c>
      <c r="N67" s="5" t="s">
        <v>74</v>
      </c>
      <c r="O67" s="23">
        <f t="shared" si="57"/>
        <v>0</v>
      </c>
      <c r="P67" s="23">
        <f t="shared" si="54"/>
        <v>0.72650735761006002</v>
      </c>
      <c r="Q67" s="23">
        <f t="shared" si="54"/>
        <v>4.1732440621956493E-4</v>
      </c>
      <c r="R67" s="23">
        <f t="shared" si="54"/>
        <v>0</v>
      </c>
      <c r="S67" s="23">
        <f t="shared" si="54"/>
        <v>0.23043565039080324</v>
      </c>
      <c r="T67" s="23">
        <f t="shared" si="54"/>
        <v>9.1811369368304292E-13</v>
      </c>
      <c r="U67" s="23">
        <f t="shared" si="54"/>
        <v>4.2639667591999025E-2</v>
      </c>
    </row>
    <row r="68" spans="2:21" ht="16.5" x14ac:dyDescent="0.45">
      <c r="B68" s="59" t="s">
        <v>704</v>
      </c>
      <c r="C68" s="5" t="s">
        <v>705</v>
      </c>
      <c r="D68" s="8">
        <f t="shared" si="55"/>
        <v>0.84452303599999989</v>
      </c>
      <c r="E68" s="208">
        <v>0</v>
      </c>
      <c r="F68" s="208">
        <f t="shared" si="56"/>
        <v>0.83901199999999998</v>
      </c>
      <c r="G68" s="208">
        <v>2.1099999999999999E-3</v>
      </c>
      <c r="H68" s="208">
        <v>1.9900000000000001E-4</v>
      </c>
      <c r="I68" s="208">
        <v>3.0000000000000001E-3</v>
      </c>
      <c r="J68" s="208">
        <v>3.5999999999999998E-8</v>
      </c>
      <c r="K68" s="208">
        <v>2.02E-4</v>
      </c>
      <c r="M68" s="59" t="s">
        <v>704</v>
      </c>
      <c r="N68" s="5" t="s">
        <v>74</v>
      </c>
      <c r="O68" s="23">
        <f t="shared" si="57"/>
        <v>0</v>
      </c>
      <c r="P68" s="23">
        <f t="shared" si="54"/>
        <v>0.99347438049043357</v>
      </c>
      <c r="Q68" s="23">
        <f t="shared" si="54"/>
        <v>2.4984516822581975E-3</v>
      </c>
      <c r="R68" s="23">
        <f t="shared" si="54"/>
        <v>2.3563596434567836E-4</v>
      </c>
      <c r="S68" s="23">
        <f t="shared" si="54"/>
        <v>3.5523009700353519E-3</v>
      </c>
      <c r="T68" s="23">
        <f t="shared" si="54"/>
        <v>4.2627611640424222E-8</v>
      </c>
      <c r="U68" s="23">
        <f t="shared" si="54"/>
        <v>2.391882653157137E-4</v>
      </c>
    </row>
    <row r="69" spans="2:21" x14ac:dyDescent="0.35">
      <c r="B69" s="59" t="s">
        <v>706</v>
      </c>
      <c r="C69" s="5" t="s">
        <v>707</v>
      </c>
      <c r="D69" s="8">
        <f t="shared" si="55"/>
        <v>8748.1139003689987</v>
      </c>
      <c r="E69" s="208">
        <v>0</v>
      </c>
      <c r="F69" s="208">
        <f t="shared" si="56"/>
        <v>7505.47</v>
      </c>
      <c r="G69" s="208">
        <v>0.57899999999999996</v>
      </c>
      <c r="H69" s="208">
        <v>3.6899999999999998E-7</v>
      </c>
      <c r="I69" s="208">
        <v>1150</v>
      </c>
      <c r="J69" s="208">
        <v>6.4899999999999999E-2</v>
      </c>
      <c r="K69" s="208">
        <v>92</v>
      </c>
      <c r="M69" s="59" t="s">
        <v>706</v>
      </c>
      <c r="N69" s="5" t="s">
        <v>74</v>
      </c>
      <c r="O69" s="23">
        <f t="shared" si="57"/>
        <v>0</v>
      </c>
      <c r="P69" s="23">
        <f t="shared" si="54"/>
        <v>0.85795293539598483</v>
      </c>
      <c r="Q69" s="23">
        <f t="shared" si="54"/>
        <v>6.6185695178886222E-5</v>
      </c>
      <c r="R69" s="23">
        <f t="shared" si="54"/>
        <v>4.2180520761673601E-11</v>
      </c>
      <c r="S69" s="23">
        <f t="shared" si="54"/>
        <v>0.13145690752283101</v>
      </c>
      <c r="T69" s="23">
        <f t="shared" si="54"/>
        <v>7.4187419984623765E-6</v>
      </c>
      <c r="U69" s="23">
        <f t="shared" si="54"/>
        <v>1.0516552601826481E-2</v>
      </c>
    </row>
    <row r="70" spans="2:21" x14ac:dyDescent="0.35">
      <c r="B70" s="59" t="s">
        <v>708</v>
      </c>
      <c r="C70" s="5" t="s">
        <v>709</v>
      </c>
      <c r="D70" s="8">
        <f t="shared" si="55"/>
        <v>1732.0510151599999</v>
      </c>
      <c r="E70" s="208">
        <v>0</v>
      </c>
      <c r="F70" s="208">
        <f t="shared" si="56"/>
        <v>1341.31</v>
      </c>
      <c r="G70" s="208">
        <v>0.74099999999999999</v>
      </c>
      <c r="H70" s="208">
        <v>1.46E-6</v>
      </c>
      <c r="I70" s="208">
        <v>368</v>
      </c>
      <c r="J70" s="208">
        <v>1.3699999999999999E-5</v>
      </c>
      <c r="K70" s="208">
        <v>22</v>
      </c>
      <c r="M70" s="59" t="s">
        <v>708</v>
      </c>
      <c r="N70" s="5" t="s">
        <v>74</v>
      </c>
      <c r="O70" s="23">
        <f t="shared" si="57"/>
        <v>0</v>
      </c>
      <c r="P70" s="23">
        <f t="shared" si="54"/>
        <v>0.77440559675206511</v>
      </c>
      <c r="Q70" s="23">
        <f t="shared" si="54"/>
        <v>4.2781649819451155E-4</v>
      </c>
      <c r="R70" s="23">
        <f t="shared" si="54"/>
        <v>8.4293129198918601E-10</v>
      </c>
      <c r="S70" s="23">
        <f t="shared" si="54"/>
        <v>0.21246487359727428</v>
      </c>
      <c r="T70" s="23">
        <f t="shared" si="54"/>
        <v>7.9096977398985264E-9</v>
      </c>
      <c r="U70" s="23">
        <f t="shared" si="54"/>
        <v>1.270170439983705E-2</v>
      </c>
    </row>
    <row r="71" spans="2:21" ht="16.5" x14ac:dyDescent="0.45">
      <c r="B71" s="59" t="s">
        <v>710</v>
      </c>
      <c r="C71" s="5" t="s">
        <v>711</v>
      </c>
      <c r="D71" s="8">
        <f t="shared" si="55"/>
        <v>12.970907088299999</v>
      </c>
      <c r="E71" s="208">
        <v>0</v>
      </c>
      <c r="F71" s="208">
        <f t="shared" si="56"/>
        <v>12.60205</v>
      </c>
      <c r="G71" s="208">
        <v>2.7699999999999999E-2</v>
      </c>
      <c r="H71" s="208">
        <v>5.5699999999999999E-4</v>
      </c>
      <c r="I71" s="208">
        <v>0.30599999999999999</v>
      </c>
      <c r="J71" s="208">
        <v>8.8300000000000003E-8</v>
      </c>
      <c r="K71" s="208">
        <v>3.4599999999999999E-2</v>
      </c>
      <c r="M71" s="59" t="s">
        <v>710</v>
      </c>
      <c r="N71" s="5" t="s">
        <v>74</v>
      </c>
      <c r="O71" s="23">
        <f t="shared" si="57"/>
        <v>0</v>
      </c>
      <c r="P71" s="23">
        <f t="shared" si="54"/>
        <v>0.97156273761048562</v>
      </c>
      <c r="Q71" s="23">
        <f t="shared" si="54"/>
        <v>2.1355484093310575E-3</v>
      </c>
      <c r="R71" s="23">
        <f t="shared" si="54"/>
        <v>4.2942255017956638E-5</v>
      </c>
      <c r="S71" s="23">
        <f t="shared" si="54"/>
        <v>2.3591256796220345E-2</v>
      </c>
      <c r="T71" s="23">
        <f t="shared" si="54"/>
        <v>6.8075424023080277E-9</v>
      </c>
      <c r="U71" s="23">
        <f t="shared" si="54"/>
        <v>2.6675081214026924E-3</v>
      </c>
    </row>
    <row r="72" spans="2:21" x14ac:dyDescent="0.35">
      <c r="B72" s="59" t="s">
        <v>712</v>
      </c>
      <c r="C72" s="5" t="s">
        <v>713</v>
      </c>
      <c r="D72" s="8">
        <f t="shared" si="55"/>
        <v>2.5646</v>
      </c>
      <c r="E72" s="208">
        <v>0</v>
      </c>
      <c r="F72" s="208">
        <f t="shared" si="56"/>
        <v>0.66943000000000008</v>
      </c>
      <c r="G72" s="208">
        <v>1.07E-3</v>
      </c>
      <c r="H72" s="208">
        <v>0</v>
      </c>
      <c r="I72" s="208">
        <v>1.87</v>
      </c>
      <c r="J72" s="208">
        <v>0</v>
      </c>
      <c r="K72" s="208">
        <v>2.41E-2</v>
      </c>
      <c r="M72" s="59" t="s">
        <v>712</v>
      </c>
      <c r="N72" s="5" t="s">
        <v>74</v>
      </c>
      <c r="O72" s="23">
        <f t="shared" si="57"/>
        <v>0</v>
      </c>
      <c r="P72" s="23">
        <f t="shared" si="54"/>
        <v>0.26102706075021448</v>
      </c>
      <c r="Q72" s="23">
        <f t="shared" si="54"/>
        <v>4.1721905950245654E-4</v>
      </c>
      <c r="R72" s="23">
        <f t="shared" si="54"/>
        <v>0</v>
      </c>
      <c r="S72" s="23">
        <f t="shared" si="54"/>
        <v>0.72915854324261098</v>
      </c>
      <c r="T72" s="23">
        <f t="shared" si="54"/>
        <v>0</v>
      </c>
      <c r="U72" s="23">
        <f t="shared" si="54"/>
        <v>9.397176947672151E-3</v>
      </c>
    </row>
    <row r="73" spans="2:21" ht="16.5" x14ac:dyDescent="0.45">
      <c r="B73" s="59" t="s">
        <v>714</v>
      </c>
      <c r="C73" s="5" t="s">
        <v>711</v>
      </c>
      <c r="D73" s="8">
        <f t="shared" si="55"/>
        <v>4.1060413150000006</v>
      </c>
      <c r="E73" s="208">
        <v>0</v>
      </c>
      <c r="F73" s="208">
        <f t="shared" si="56"/>
        <v>3.970704</v>
      </c>
      <c r="G73" s="208">
        <v>7.8799999999999999E-3</v>
      </c>
      <c r="H73" s="208">
        <v>5.5699999999999999E-4</v>
      </c>
      <c r="I73" s="208">
        <v>0.115</v>
      </c>
      <c r="J73" s="208">
        <v>3.15E-7</v>
      </c>
      <c r="K73" s="208">
        <v>1.1900000000000001E-2</v>
      </c>
      <c r="M73" s="59" t="s">
        <v>714</v>
      </c>
      <c r="N73" s="5" t="s">
        <v>74</v>
      </c>
      <c r="O73" s="23">
        <f t="shared" si="57"/>
        <v>0</v>
      </c>
      <c r="P73" s="23">
        <f t="shared" si="54"/>
        <v>0.96703946584619294</v>
      </c>
      <c r="Q73" s="23">
        <f t="shared" si="54"/>
        <v>1.9191234075539249E-3</v>
      </c>
      <c r="R73" s="23">
        <f t="shared" si="54"/>
        <v>1.3565377385882439E-4</v>
      </c>
      <c r="S73" s="23">
        <f t="shared" si="54"/>
        <v>2.8007511658464643E-2</v>
      </c>
      <c r="T73" s="23">
        <f t="shared" si="54"/>
        <v>7.6716227586229239E-8</v>
      </c>
      <c r="U73" s="23">
        <f t="shared" si="54"/>
        <v>2.8981685977019934E-3</v>
      </c>
    </row>
    <row r="74" spans="2:21" ht="16.5" x14ac:dyDescent="0.45">
      <c r="B74" s="59" t="s">
        <v>715</v>
      </c>
      <c r="C74" s="5" t="s">
        <v>716</v>
      </c>
      <c r="D74" s="8">
        <f t="shared" si="55"/>
        <v>0.18926913000000001</v>
      </c>
      <c r="E74" s="208">
        <v>0</v>
      </c>
      <c r="F74" s="208">
        <f t="shared" si="56"/>
        <v>0.1660133</v>
      </c>
      <c r="G74" s="208">
        <v>1.8300000000000001E-6</v>
      </c>
      <c r="H74" s="208">
        <v>2.63E-3</v>
      </c>
      <c r="I74" s="208">
        <v>2.0400000000000001E-2</v>
      </c>
      <c r="J74" s="208">
        <v>0</v>
      </c>
      <c r="K74" s="208">
        <v>2.24E-4</v>
      </c>
      <c r="M74" s="59" t="s">
        <v>715</v>
      </c>
      <c r="N74" s="5" t="s">
        <v>74</v>
      </c>
      <c r="O74" s="23">
        <f t="shared" si="57"/>
        <v>0</v>
      </c>
      <c r="P74" s="23">
        <f t="shared" si="54"/>
        <v>0.87712824590042759</v>
      </c>
      <c r="Q74" s="23">
        <f t="shared" si="54"/>
        <v>9.6687716586429064E-6</v>
      </c>
      <c r="R74" s="23">
        <f t="shared" si="54"/>
        <v>1.3895557083186254E-2</v>
      </c>
      <c r="S74" s="23">
        <f t="shared" si="54"/>
        <v>0.10778302832585536</v>
      </c>
      <c r="T74" s="23">
        <f t="shared" si="54"/>
        <v>0</v>
      </c>
      <c r="U74" s="23">
        <f t="shared" si="54"/>
        <v>1.1834999188721372E-3</v>
      </c>
    </row>
    <row r="75" spans="2:21" ht="16.5" x14ac:dyDescent="0.45">
      <c r="B75" s="209" t="s">
        <v>717</v>
      </c>
      <c r="C75" s="210" t="s">
        <v>671</v>
      </c>
      <c r="D75" s="211">
        <f t="shared" si="55"/>
        <v>799.31100000220988</v>
      </c>
      <c r="E75" s="213">
        <v>0</v>
      </c>
      <c r="F75" s="213">
        <f t="shared" si="56"/>
        <v>777.10299999999995</v>
      </c>
      <c r="G75" s="213">
        <v>6.8</v>
      </c>
      <c r="H75" s="213">
        <v>0.47799999999999998</v>
      </c>
      <c r="I75" s="213">
        <v>13.2</v>
      </c>
      <c r="J75" s="213">
        <v>2.21E-9</v>
      </c>
      <c r="K75" s="213">
        <v>1.73</v>
      </c>
      <c r="M75" s="209" t="s">
        <v>717</v>
      </c>
      <c r="N75" s="210" t="s">
        <v>74</v>
      </c>
      <c r="O75" s="217">
        <f t="shared" si="57"/>
        <v>0</v>
      </c>
      <c r="P75" s="217">
        <f t="shared" si="54"/>
        <v>0.97221607108853936</v>
      </c>
      <c r="Q75" s="217">
        <f t="shared" si="54"/>
        <v>8.5073269352995261E-3</v>
      </c>
      <c r="R75" s="217">
        <f t="shared" si="54"/>
        <v>5.9801504045193729E-4</v>
      </c>
      <c r="S75" s="217">
        <f t="shared" si="54"/>
        <v>1.6514222874404964E-2</v>
      </c>
      <c r="T75" s="217">
        <f t="shared" si="54"/>
        <v>2.764881253972346E-12</v>
      </c>
      <c r="U75" s="217">
        <f t="shared" si="54"/>
        <v>2.1643640585394383E-3</v>
      </c>
    </row>
    <row r="76" spans="2:21" x14ac:dyDescent="0.35">
      <c r="B76" s="59" t="s">
        <v>718</v>
      </c>
      <c r="C76" s="5" t="s">
        <v>673</v>
      </c>
      <c r="D76" s="8">
        <f t="shared" si="55"/>
        <v>26110.048999999999</v>
      </c>
      <c r="E76" s="208">
        <v>0</v>
      </c>
      <c r="F76" s="208">
        <f t="shared" si="56"/>
        <v>25802.09</v>
      </c>
      <c r="G76" s="208">
        <v>115</v>
      </c>
      <c r="H76" s="208">
        <v>5.57</v>
      </c>
      <c r="I76" s="208">
        <v>152</v>
      </c>
      <c r="J76" s="208">
        <v>0.189</v>
      </c>
      <c r="K76" s="208">
        <v>35.200000000000003</v>
      </c>
      <c r="M76" s="59" t="s">
        <v>718</v>
      </c>
      <c r="N76" s="5" t="s">
        <v>74</v>
      </c>
      <c r="O76" s="23">
        <f t="shared" si="57"/>
        <v>0</v>
      </c>
      <c r="P76" s="23">
        <f t="shared" si="54"/>
        <v>0.98820534576553265</v>
      </c>
      <c r="Q76" s="23">
        <f t="shared" si="54"/>
        <v>4.4044344765496232E-3</v>
      </c>
      <c r="R76" s="23">
        <f t="shared" si="54"/>
        <v>2.1332782638592521E-4</v>
      </c>
      <c r="S76" s="23">
        <f t="shared" si="54"/>
        <v>5.821513395091675E-3</v>
      </c>
      <c r="T76" s="23">
        <f t="shared" si="54"/>
        <v>7.238592313633728E-6</v>
      </c>
      <c r="U76" s="23">
        <f t="shared" si="54"/>
        <v>1.3481399441264933E-3</v>
      </c>
    </row>
    <row r="77" spans="2:21" x14ac:dyDescent="0.35">
      <c r="B77" s="59" t="s">
        <v>719</v>
      </c>
      <c r="C77" s="5" t="s">
        <v>720</v>
      </c>
      <c r="D77" s="8">
        <f t="shared" si="55"/>
        <v>3.2224919999999999</v>
      </c>
      <c r="E77" s="208">
        <v>0</v>
      </c>
      <c r="F77" s="208">
        <f t="shared" si="56"/>
        <v>1.6811699999999998</v>
      </c>
      <c r="G77" s="208">
        <v>4.2200000000000001E-4</v>
      </c>
      <c r="H77" s="208">
        <v>0</v>
      </c>
      <c r="I77" s="208">
        <v>1.51</v>
      </c>
      <c r="J77" s="208">
        <v>1.12E-2</v>
      </c>
      <c r="K77" s="208">
        <v>1.9699999999999999E-2</v>
      </c>
      <c r="M77" s="59" t="s">
        <v>719</v>
      </c>
      <c r="N77" s="5" t="s">
        <v>74</v>
      </c>
      <c r="O77" s="23">
        <f t="shared" si="57"/>
        <v>0</v>
      </c>
      <c r="P77" s="23">
        <f t="shared" si="54"/>
        <v>0.52169873501625441</v>
      </c>
      <c r="Q77" s="23">
        <f t="shared" si="54"/>
        <v>1.3095455318430581E-4</v>
      </c>
      <c r="R77" s="23">
        <f t="shared" si="54"/>
        <v>0</v>
      </c>
      <c r="S77" s="23">
        <f t="shared" si="54"/>
        <v>0.4685814580765445</v>
      </c>
      <c r="T77" s="23">
        <f t="shared" si="54"/>
        <v>3.4755710797730452E-3</v>
      </c>
      <c r="U77" s="23">
        <f t="shared" si="54"/>
        <v>6.1132812742436598E-3</v>
      </c>
    </row>
    <row r="79" spans="2:21" ht="16.5" x14ac:dyDescent="0.45">
      <c r="B79" s="315" t="s">
        <v>688</v>
      </c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</row>
    <row r="81" spans="2:18" ht="29" x14ac:dyDescent="0.35">
      <c r="B81" s="207" t="s">
        <v>660</v>
      </c>
      <c r="C81" s="207" t="s">
        <v>477</v>
      </c>
      <c r="D81" s="207" t="s">
        <v>15</v>
      </c>
      <c r="E81" s="207" t="s">
        <v>683</v>
      </c>
      <c r="F81" s="207" t="s">
        <v>690</v>
      </c>
      <c r="G81" s="207" t="s">
        <v>689</v>
      </c>
      <c r="H81" s="207" t="s">
        <v>665</v>
      </c>
      <c r="M81" s="207" t="s">
        <v>660</v>
      </c>
      <c r="N81" s="207" t="s">
        <v>477</v>
      </c>
      <c r="O81" s="207" t="s">
        <v>683</v>
      </c>
      <c r="P81" s="207" t="s">
        <v>690</v>
      </c>
      <c r="Q81" s="207" t="s">
        <v>689</v>
      </c>
      <c r="R81" s="207" t="s">
        <v>665</v>
      </c>
    </row>
    <row r="82" spans="2:18" ht="16.5" x14ac:dyDescent="0.45">
      <c r="B82" s="59" t="s">
        <v>695</v>
      </c>
      <c r="C82" s="5" t="s">
        <v>696</v>
      </c>
      <c r="D82" s="8">
        <f>SUM(E82:H82)</f>
        <v>22.201778999999998</v>
      </c>
      <c r="E82" s="208">
        <v>0</v>
      </c>
      <c r="F82" s="208">
        <f>D101</f>
        <v>22.200956999999999</v>
      </c>
      <c r="G82" s="208">
        <v>6.2500000000000001E-4</v>
      </c>
      <c r="H82" s="208">
        <v>1.9699999999999999E-4</v>
      </c>
      <c r="M82" s="59" t="s">
        <v>695</v>
      </c>
      <c r="N82" s="5" t="s">
        <v>74</v>
      </c>
      <c r="O82" s="23">
        <f>E82/$D82</f>
        <v>0</v>
      </c>
      <c r="P82" s="23">
        <f t="shared" ref="P82:P96" si="58">F82/$D82</f>
        <v>0.99996297593990102</v>
      </c>
      <c r="Q82" s="23">
        <f t="shared" ref="Q82:Q96" si="59">G82/$D82</f>
        <v>2.8150897277195673E-5</v>
      </c>
      <c r="R82" s="23">
        <f t="shared" ref="R82:R96" si="60">H82/$D82</f>
        <v>8.8731628217720762E-6</v>
      </c>
    </row>
    <row r="83" spans="2:18" ht="16.5" x14ac:dyDescent="0.45">
      <c r="B83" s="59" t="s">
        <v>697</v>
      </c>
      <c r="C83" s="5" t="s">
        <v>696</v>
      </c>
      <c r="D83" s="8">
        <f t="shared" ref="D83:D96" si="61">SUM(E83:H83)</f>
        <v>4.1529052999999996</v>
      </c>
      <c r="E83" s="208">
        <v>2.89</v>
      </c>
      <c r="F83" s="208">
        <f t="shared" ref="F83:F96" si="62">D102</f>
        <v>1.2603610000000001</v>
      </c>
      <c r="G83" s="208">
        <v>2.47E-3</v>
      </c>
      <c r="H83" s="208">
        <v>7.4300000000000004E-5</v>
      </c>
      <c r="M83" s="59" t="s">
        <v>697</v>
      </c>
      <c r="N83" s="5" t="s">
        <v>74</v>
      </c>
      <c r="O83" s="23">
        <f t="shared" ref="O83:O96" si="63">E83/$D83</f>
        <v>0.69589836300866292</v>
      </c>
      <c r="P83" s="23">
        <f t="shared" si="58"/>
        <v>0.3034889815570801</v>
      </c>
      <c r="Q83" s="23">
        <f t="shared" si="59"/>
        <v>5.9476434485515486E-4</v>
      </c>
      <c r="R83" s="23">
        <f t="shared" si="60"/>
        <v>1.789108940191822E-5</v>
      </c>
    </row>
    <row r="84" spans="2:18" x14ac:dyDescent="0.35">
      <c r="B84" s="59" t="s">
        <v>698</v>
      </c>
      <c r="C84" s="5" t="s">
        <v>699</v>
      </c>
      <c r="D84" s="8">
        <f t="shared" si="61"/>
        <v>0.31560729999999998</v>
      </c>
      <c r="E84" s="208">
        <v>0</v>
      </c>
      <c r="F84" s="208">
        <f t="shared" si="62"/>
        <v>0.31208069999999999</v>
      </c>
      <c r="G84" s="208">
        <v>3.5100000000000001E-3</v>
      </c>
      <c r="H84" s="208">
        <v>1.66E-5</v>
      </c>
      <c r="M84" s="59" t="s">
        <v>698</v>
      </c>
      <c r="N84" s="5" t="s">
        <v>74</v>
      </c>
      <c r="O84" s="23">
        <f t="shared" si="63"/>
        <v>0</v>
      </c>
      <c r="P84" s="23">
        <f t="shared" si="58"/>
        <v>0.98882598723160087</v>
      </c>
      <c r="Q84" s="23">
        <f t="shared" si="59"/>
        <v>1.1121415759394666E-2</v>
      </c>
      <c r="R84" s="23">
        <f t="shared" si="60"/>
        <v>5.2597009004544578E-5</v>
      </c>
    </row>
    <row r="85" spans="2:18" x14ac:dyDescent="0.35">
      <c r="B85" s="59" t="s">
        <v>700</v>
      </c>
      <c r="C85" s="5" t="s">
        <v>701</v>
      </c>
      <c r="D85" s="8">
        <f t="shared" si="61"/>
        <v>500.774</v>
      </c>
      <c r="E85" s="208">
        <v>0</v>
      </c>
      <c r="F85" s="208">
        <f t="shared" si="62"/>
        <v>494.88</v>
      </c>
      <c r="G85" s="208">
        <v>5.3</v>
      </c>
      <c r="H85" s="208">
        <v>0.59399999999999997</v>
      </c>
      <c r="M85" s="59" t="s">
        <v>700</v>
      </c>
      <c r="N85" s="5" t="s">
        <v>74</v>
      </c>
      <c r="O85" s="23">
        <f t="shared" si="63"/>
        <v>0</v>
      </c>
      <c r="P85" s="23">
        <f t="shared" si="58"/>
        <v>0.98823021962002822</v>
      </c>
      <c r="Q85" s="23">
        <f t="shared" si="59"/>
        <v>1.0583616561562701E-2</v>
      </c>
      <c r="R85" s="23">
        <f t="shared" si="60"/>
        <v>1.1861638184091027E-3</v>
      </c>
    </row>
    <row r="86" spans="2:18" x14ac:dyDescent="0.35">
      <c r="B86" s="59" t="s">
        <v>702</v>
      </c>
      <c r="C86" s="5" t="s">
        <v>703</v>
      </c>
      <c r="D86" s="8">
        <f t="shared" si="61"/>
        <v>2.5043099999999997E-6</v>
      </c>
      <c r="E86" s="208">
        <v>0</v>
      </c>
      <c r="F86" s="208">
        <f t="shared" si="62"/>
        <v>2.4585499999999999E-6</v>
      </c>
      <c r="G86" s="208">
        <v>4.3999999999999997E-8</v>
      </c>
      <c r="H86" s="208">
        <v>1.7599999999999999E-9</v>
      </c>
      <c r="M86" s="59" t="s">
        <v>702</v>
      </c>
      <c r="N86" s="5" t="s">
        <v>74</v>
      </c>
      <c r="O86" s="23">
        <f t="shared" si="63"/>
        <v>0</v>
      </c>
      <c r="P86" s="23">
        <f t="shared" si="58"/>
        <v>0.98172750178691948</v>
      </c>
      <c r="Q86" s="23">
        <f t="shared" si="59"/>
        <v>1.7569709820269855E-2</v>
      </c>
      <c r="R86" s="23">
        <f t="shared" si="60"/>
        <v>7.0278839281079418E-4</v>
      </c>
    </row>
    <row r="87" spans="2:18" ht="16.5" x14ac:dyDescent="0.45">
      <c r="B87" s="59" t="s">
        <v>704</v>
      </c>
      <c r="C87" s="5" t="s">
        <v>705</v>
      </c>
      <c r="D87" s="8">
        <f t="shared" si="61"/>
        <v>24.517978890000002</v>
      </c>
      <c r="E87" s="208">
        <v>24</v>
      </c>
      <c r="F87" s="208">
        <f t="shared" si="62"/>
        <v>0.51400736999999996</v>
      </c>
      <c r="G87" s="208">
        <v>3.9699999999999996E-3</v>
      </c>
      <c r="H87" s="208">
        <v>1.5200000000000001E-6</v>
      </c>
      <c r="M87" s="59" t="s">
        <v>704</v>
      </c>
      <c r="N87" s="5" t="s">
        <v>74</v>
      </c>
      <c r="O87" s="23">
        <f t="shared" si="63"/>
        <v>0.97887350779100035</v>
      </c>
      <c r="P87" s="23">
        <f t="shared" si="58"/>
        <v>2.0964508220930274E-2</v>
      </c>
      <c r="Q87" s="23">
        <f t="shared" si="59"/>
        <v>1.6192199274709464E-4</v>
      </c>
      <c r="R87" s="23">
        <f t="shared" si="60"/>
        <v>6.1995322160096689E-8</v>
      </c>
    </row>
    <row r="88" spans="2:18" x14ac:dyDescent="0.35">
      <c r="B88" s="59" t="s">
        <v>706</v>
      </c>
      <c r="C88" s="5" t="s">
        <v>707</v>
      </c>
      <c r="D88" s="8">
        <f t="shared" si="61"/>
        <v>4624.33</v>
      </c>
      <c r="E88" s="208">
        <v>18.899999999999999</v>
      </c>
      <c r="F88" s="208">
        <f t="shared" si="62"/>
        <v>4603.3500000000004</v>
      </c>
      <c r="G88" s="208">
        <v>1.39</v>
      </c>
      <c r="H88" s="208">
        <v>0.69</v>
      </c>
      <c r="M88" s="59" t="s">
        <v>706</v>
      </c>
      <c r="N88" s="5" t="s">
        <v>74</v>
      </c>
      <c r="O88" s="23">
        <f t="shared" si="63"/>
        <v>4.0870785605698554E-3</v>
      </c>
      <c r="P88" s="23">
        <f t="shared" si="58"/>
        <v>0.99546312655022462</v>
      </c>
      <c r="Q88" s="23">
        <f t="shared" si="59"/>
        <v>3.0058408461333859E-4</v>
      </c>
      <c r="R88" s="23">
        <f t="shared" si="60"/>
        <v>1.4921080459223281E-4</v>
      </c>
    </row>
    <row r="89" spans="2:18" x14ac:dyDescent="0.35">
      <c r="B89" s="59" t="s">
        <v>708</v>
      </c>
      <c r="C89" s="5" t="s">
        <v>709</v>
      </c>
      <c r="D89" s="8">
        <f t="shared" si="61"/>
        <v>826.13600000000008</v>
      </c>
      <c r="E89" s="208">
        <v>3.47</v>
      </c>
      <c r="F89" s="208">
        <f t="shared" si="62"/>
        <v>820.80100000000004</v>
      </c>
      <c r="G89" s="208">
        <v>1.7</v>
      </c>
      <c r="H89" s="208">
        <v>0.16500000000000001</v>
      </c>
      <c r="M89" s="59" t="s">
        <v>708</v>
      </c>
      <c r="N89" s="5" t="s">
        <v>74</v>
      </c>
      <c r="O89" s="23">
        <f t="shared" si="63"/>
        <v>4.200276951978851E-3</v>
      </c>
      <c r="P89" s="23">
        <f t="shared" si="58"/>
        <v>0.99354222549313909</v>
      </c>
      <c r="Q89" s="23">
        <f t="shared" si="59"/>
        <v>2.0577725701337308E-3</v>
      </c>
      <c r="R89" s="23">
        <f t="shared" si="60"/>
        <v>1.9972498474827389E-4</v>
      </c>
    </row>
    <row r="90" spans="2:18" ht="16.5" x14ac:dyDescent="0.45">
      <c r="B90" s="59" t="s">
        <v>710</v>
      </c>
      <c r="C90" s="5" t="s">
        <v>711</v>
      </c>
      <c r="D90" s="8">
        <f t="shared" si="61"/>
        <v>7.8165190000000004</v>
      </c>
      <c r="E90" s="208">
        <v>0</v>
      </c>
      <c r="F90" s="208">
        <f t="shared" si="62"/>
        <v>7.7012600000000004</v>
      </c>
      <c r="G90" s="208">
        <v>0.115</v>
      </c>
      <c r="H90" s="208">
        <v>2.5900000000000001E-4</v>
      </c>
      <c r="M90" s="59" t="s">
        <v>710</v>
      </c>
      <c r="N90" s="5" t="s">
        <v>74</v>
      </c>
      <c r="O90" s="23">
        <f t="shared" si="63"/>
        <v>0</v>
      </c>
      <c r="P90" s="23">
        <f t="shared" si="58"/>
        <v>0.98525443359121878</v>
      </c>
      <c r="Q90" s="23">
        <f t="shared" si="59"/>
        <v>1.4712431454462018E-2</v>
      </c>
      <c r="R90" s="23">
        <f t="shared" si="60"/>
        <v>3.3134954319179675E-5</v>
      </c>
    </row>
    <row r="91" spans="2:18" x14ac:dyDescent="0.35">
      <c r="B91" s="59" t="s">
        <v>712</v>
      </c>
      <c r="C91" s="5" t="s">
        <v>713</v>
      </c>
      <c r="D91" s="8">
        <f t="shared" si="61"/>
        <v>0.41005899999999995</v>
      </c>
      <c r="E91" s="208">
        <v>0</v>
      </c>
      <c r="F91" s="208">
        <f t="shared" si="62"/>
        <v>0.40987799999999996</v>
      </c>
      <c r="G91" s="208">
        <v>0</v>
      </c>
      <c r="H91" s="208">
        <v>1.8100000000000001E-4</v>
      </c>
      <c r="M91" s="59" t="s">
        <v>712</v>
      </c>
      <c r="N91" s="5" t="s">
        <v>74</v>
      </c>
      <c r="O91" s="23">
        <f t="shared" si="63"/>
        <v>0</v>
      </c>
      <c r="P91" s="23">
        <f t="shared" si="58"/>
        <v>0.99955860010388753</v>
      </c>
      <c r="Q91" s="23">
        <f t="shared" si="59"/>
        <v>0</v>
      </c>
      <c r="R91" s="23">
        <f t="shared" si="60"/>
        <v>4.4139989611251073E-4</v>
      </c>
    </row>
    <row r="92" spans="2:18" ht="16.5" x14ac:dyDescent="0.45">
      <c r="B92" s="59" t="s">
        <v>714</v>
      </c>
      <c r="C92" s="5" t="s">
        <v>711</v>
      </c>
      <c r="D92" s="8">
        <f t="shared" si="61"/>
        <v>2.4639209000000002</v>
      </c>
      <c r="E92" s="208">
        <v>0</v>
      </c>
      <c r="F92" s="208">
        <f t="shared" si="62"/>
        <v>2.4404319999999999</v>
      </c>
      <c r="G92" s="208">
        <v>2.3400000000000001E-2</v>
      </c>
      <c r="H92" s="208">
        <v>8.8900000000000006E-5</v>
      </c>
      <c r="M92" s="59" t="s">
        <v>714</v>
      </c>
      <c r="N92" s="5" t="s">
        <v>74</v>
      </c>
      <c r="O92" s="23">
        <f t="shared" si="63"/>
        <v>0</v>
      </c>
      <c r="P92" s="23">
        <f t="shared" si="58"/>
        <v>0.99046686117236948</v>
      </c>
      <c r="Q92" s="23">
        <f t="shared" si="59"/>
        <v>9.4970581239032462E-3</v>
      </c>
      <c r="R92" s="23">
        <f t="shared" si="60"/>
        <v>3.6080703727136697E-5</v>
      </c>
    </row>
    <row r="93" spans="2:18" ht="16.5" x14ac:dyDescent="0.45">
      <c r="B93" s="59" t="s">
        <v>715</v>
      </c>
      <c r="C93" s="5" t="s">
        <v>716</v>
      </c>
      <c r="D93" s="8">
        <f t="shared" si="61"/>
        <v>0.10206722</v>
      </c>
      <c r="E93" s="208">
        <v>0</v>
      </c>
      <c r="F93" s="208">
        <f t="shared" si="62"/>
        <v>0.10200814</v>
      </c>
      <c r="G93" s="208">
        <v>5.7399999999999999E-5</v>
      </c>
      <c r="H93" s="208">
        <v>1.68E-6</v>
      </c>
      <c r="M93" s="59" t="s">
        <v>715</v>
      </c>
      <c r="N93" s="5" t="s">
        <v>74</v>
      </c>
      <c r="O93" s="23">
        <f t="shared" si="63"/>
        <v>0</v>
      </c>
      <c r="P93" s="23">
        <f t="shared" si="58"/>
        <v>0.99942116577682827</v>
      </c>
      <c r="Q93" s="23">
        <f t="shared" si="59"/>
        <v>5.6237448222847648E-4</v>
      </c>
      <c r="R93" s="23">
        <f t="shared" si="60"/>
        <v>1.6459740943272482E-5</v>
      </c>
    </row>
    <row r="94" spans="2:18" ht="16.5" x14ac:dyDescent="0.45">
      <c r="B94" s="209" t="s">
        <v>717</v>
      </c>
      <c r="C94" s="210" t="s">
        <v>671</v>
      </c>
      <c r="D94" s="211">
        <f t="shared" si="61"/>
        <v>492.87599999999998</v>
      </c>
      <c r="E94" s="213">
        <v>0</v>
      </c>
      <c r="F94" s="213">
        <f t="shared" si="62"/>
        <v>476.06299999999999</v>
      </c>
      <c r="G94" s="213">
        <v>16.8</v>
      </c>
      <c r="H94" s="213">
        <v>1.2999999999999999E-2</v>
      </c>
      <c r="M94" s="209" t="s">
        <v>717</v>
      </c>
      <c r="N94" s="210" t="s">
        <v>74</v>
      </c>
      <c r="O94" s="217">
        <f t="shared" si="63"/>
        <v>0</v>
      </c>
      <c r="P94" s="217">
        <f t="shared" si="58"/>
        <v>0.96588797182252739</v>
      </c>
      <c r="Q94" s="217">
        <f t="shared" si="59"/>
        <v>3.408565237503957E-2</v>
      </c>
      <c r="R94" s="217">
        <f t="shared" si="60"/>
        <v>2.6375802433066328E-5</v>
      </c>
    </row>
    <row r="95" spans="2:18" x14ac:dyDescent="0.35">
      <c r="B95" s="59" t="s">
        <v>718</v>
      </c>
      <c r="C95" s="5" t="s">
        <v>673</v>
      </c>
      <c r="D95" s="8">
        <f t="shared" si="61"/>
        <v>16088.534000000001</v>
      </c>
      <c r="E95" s="208">
        <v>0</v>
      </c>
      <c r="F95" s="208">
        <f t="shared" si="62"/>
        <v>15801.28</v>
      </c>
      <c r="G95" s="208">
        <v>287</v>
      </c>
      <c r="H95" s="208">
        <v>0.254</v>
      </c>
      <c r="M95" s="59" t="s">
        <v>718</v>
      </c>
      <c r="N95" s="5" t="s">
        <v>74</v>
      </c>
      <c r="O95" s="23">
        <f t="shared" si="63"/>
        <v>0</v>
      </c>
      <c r="P95" s="23">
        <f t="shared" si="58"/>
        <v>0.98214542108062797</v>
      </c>
      <c r="Q95" s="23">
        <f t="shared" si="59"/>
        <v>1.7838791278310378E-2</v>
      </c>
      <c r="R95" s="23">
        <f t="shared" si="60"/>
        <v>1.5787641061640542E-5</v>
      </c>
    </row>
    <row r="96" spans="2:18" x14ac:dyDescent="0.35">
      <c r="B96" s="59" t="s">
        <v>719</v>
      </c>
      <c r="C96" s="5" t="s">
        <v>720</v>
      </c>
      <c r="D96" s="8">
        <f t="shared" si="61"/>
        <v>1.0320029999999998</v>
      </c>
      <c r="E96" s="208">
        <v>0</v>
      </c>
      <c r="F96" s="208">
        <f t="shared" si="62"/>
        <v>1.030716</v>
      </c>
      <c r="G96" s="208">
        <v>1.14E-3</v>
      </c>
      <c r="H96" s="208">
        <v>1.47E-4</v>
      </c>
      <c r="M96" s="59" t="s">
        <v>719</v>
      </c>
      <c r="N96" s="5" t="s">
        <v>74</v>
      </c>
      <c r="O96" s="23">
        <f t="shared" si="63"/>
        <v>0</v>
      </c>
      <c r="P96" s="23">
        <f t="shared" si="58"/>
        <v>0.99875291060200422</v>
      </c>
      <c r="Q96" s="23">
        <f t="shared" si="59"/>
        <v>1.104647951604792E-3</v>
      </c>
      <c r="R96" s="23">
        <f t="shared" si="60"/>
        <v>1.4244144639114425E-4</v>
      </c>
    </row>
    <row r="98" spans="2:20" ht="16.5" x14ac:dyDescent="0.45">
      <c r="B98" s="315" t="s">
        <v>685</v>
      </c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</row>
    <row r="100" spans="2:20" ht="29" x14ac:dyDescent="0.35">
      <c r="B100" s="207" t="s">
        <v>660</v>
      </c>
      <c r="C100" s="207" t="s">
        <v>477</v>
      </c>
      <c r="D100" s="207" t="s">
        <v>686</v>
      </c>
      <c r="E100" s="207" t="s">
        <v>690</v>
      </c>
      <c r="F100" s="207" t="s">
        <v>680</v>
      </c>
      <c r="G100" s="207" t="s">
        <v>665</v>
      </c>
      <c r="H100" s="207" t="s">
        <v>687</v>
      </c>
      <c r="I100" s="207" t="s">
        <v>691</v>
      </c>
      <c r="J100" s="207" t="s">
        <v>680</v>
      </c>
      <c r="K100" s="207" t="s">
        <v>665</v>
      </c>
      <c r="M100" s="207" t="s">
        <v>660</v>
      </c>
      <c r="N100" s="207" t="s">
        <v>477</v>
      </c>
      <c r="O100" s="207" t="s">
        <v>690</v>
      </c>
      <c r="P100" s="207" t="s">
        <v>680</v>
      </c>
      <c r="Q100" s="207" t="s">
        <v>665</v>
      </c>
      <c r="R100" s="207" t="s">
        <v>691</v>
      </c>
      <c r="S100" s="207" t="s">
        <v>680</v>
      </c>
      <c r="T100" s="207" t="s">
        <v>665</v>
      </c>
    </row>
    <row r="101" spans="2:20" ht="16.5" x14ac:dyDescent="0.45">
      <c r="B101" s="59" t="s">
        <v>695</v>
      </c>
      <c r="C101" s="5" t="s">
        <v>696</v>
      </c>
      <c r="D101" s="8">
        <f>SUM(E101:G101)</f>
        <v>22.200956999999999</v>
      </c>
      <c r="E101" s="208">
        <v>0</v>
      </c>
      <c r="F101" s="208">
        <v>22.2</v>
      </c>
      <c r="G101" s="208">
        <v>9.5699999999999995E-4</v>
      </c>
      <c r="H101" s="8">
        <f>SUM(I101:K101)</f>
        <v>36.201560000000001</v>
      </c>
      <c r="I101" s="208">
        <v>0</v>
      </c>
      <c r="J101" s="208">
        <v>36.200000000000003</v>
      </c>
      <c r="K101" s="208">
        <v>1.56E-3</v>
      </c>
      <c r="M101" s="59" t="s">
        <v>695</v>
      </c>
      <c r="N101" s="5" t="s">
        <v>74</v>
      </c>
      <c r="O101" s="23">
        <f>E101/$D101</f>
        <v>0</v>
      </c>
      <c r="P101" s="23">
        <f t="shared" ref="P101:P115" si="64">F101/$D101</f>
        <v>0.99995689375012076</v>
      </c>
      <c r="Q101" s="23">
        <f t="shared" ref="Q101:Q115" si="65">G101/$D101</f>
        <v>4.310624987922818E-5</v>
      </c>
      <c r="R101" s="23">
        <f>I101/$H101</f>
        <v>0</v>
      </c>
      <c r="S101" s="23">
        <f t="shared" ref="S101:T115" si="66">J101/$H101</f>
        <v>0.99995690793435432</v>
      </c>
      <c r="T101" s="23">
        <f t="shared" si="66"/>
        <v>4.309206564578985E-5</v>
      </c>
    </row>
    <row r="102" spans="2:20" ht="16.5" x14ac:dyDescent="0.45">
      <c r="B102" s="59" t="s">
        <v>697</v>
      </c>
      <c r="C102" s="5" t="s">
        <v>696</v>
      </c>
      <c r="D102" s="8">
        <f t="shared" ref="D102:D115" si="67">SUM(E102:G102)</f>
        <v>1.2603610000000001</v>
      </c>
      <c r="E102" s="208">
        <v>0</v>
      </c>
      <c r="F102" s="208">
        <v>1.26</v>
      </c>
      <c r="G102" s="208">
        <v>3.6099999999999999E-4</v>
      </c>
      <c r="H102" s="8">
        <f t="shared" ref="H102:H115" si="68">SUM(I102:K102)</f>
        <v>2.0605890000000002</v>
      </c>
      <c r="I102" s="208">
        <v>0</v>
      </c>
      <c r="J102" s="208">
        <v>2.06</v>
      </c>
      <c r="K102" s="208">
        <v>5.8900000000000001E-4</v>
      </c>
      <c r="M102" s="59" t="s">
        <v>697</v>
      </c>
      <c r="N102" s="5" t="s">
        <v>74</v>
      </c>
      <c r="O102" s="23">
        <f t="shared" ref="O102:O115" si="69">E102/$D102</f>
        <v>0</v>
      </c>
      <c r="P102" s="23">
        <f t="shared" si="64"/>
        <v>0.99971357412677797</v>
      </c>
      <c r="Q102" s="23">
        <f t="shared" si="65"/>
        <v>2.8642587322203714E-4</v>
      </c>
      <c r="R102" s="23">
        <f t="shared" ref="R102:R115" si="70">I102/$H102</f>
        <v>0</v>
      </c>
      <c r="S102" s="23">
        <f t="shared" si="66"/>
        <v>0.99971415939811381</v>
      </c>
      <c r="T102" s="23">
        <f t="shared" si="66"/>
        <v>2.8584060188615971E-4</v>
      </c>
    </row>
    <row r="103" spans="2:20" x14ac:dyDescent="0.35">
      <c r="B103" s="59" t="s">
        <v>698</v>
      </c>
      <c r="C103" s="5" t="s">
        <v>699</v>
      </c>
      <c r="D103" s="8">
        <f t="shared" si="67"/>
        <v>0.31208069999999999</v>
      </c>
      <c r="E103" s="208">
        <v>0</v>
      </c>
      <c r="F103" s="208">
        <v>0.312</v>
      </c>
      <c r="G103" s="208">
        <v>8.0699999999999996E-5</v>
      </c>
      <c r="H103" s="8">
        <f t="shared" si="68"/>
        <v>0.50913200000000003</v>
      </c>
      <c r="I103" s="208">
        <v>0</v>
      </c>
      <c r="J103" s="208">
        <v>0.50900000000000001</v>
      </c>
      <c r="K103" s="208">
        <v>1.3200000000000001E-4</v>
      </c>
      <c r="M103" s="59" t="s">
        <v>698</v>
      </c>
      <c r="N103" s="5" t="s">
        <v>74</v>
      </c>
      <c r="O103" s="23">
        <f t="shared" si="69"/>
        <v>0</v>
      </c>
      <c r="P103" s="23">
        <f t="shared" si="64"/>
        <v>0.9997414130383584</v>
      </c>
      <c r="Q103" s="23">
        <f t="shared" si="65"/>
        <v>2.5858696164165232E-4</v>
      </c>
      <c r="R103" s="23">
        <f t="shared" si="70"/>
        <v>0</v>
      </c>
      <c r="S103" s="23">
        <f t="shared" si="66"/>
        <v>0.9997407352120864</v>
      </c>
      <c r="T103" s="23">
        <f t="shared" si="66"/>
        <v>2.59264787913547E-4</v>
      </c>
    </row>
    <row r="104" spans="2:20" x14ac:dyDescent="0.35">
      <c r="B104" s="59" t="s">
        <v>700</v>
      </c>
      <c r="C104" s="5" t="s">
        <v>701</v>
      </c>
      <c r="D104" s="8">
        <f t="shared" si="67"/>
        <v>494.88</v>
      </c>
      <c r="E104" s="208">
        <v>0</v>
      </c>
      <c r="F104" s="208">
        <v>492</v>
      </c>
      <c r="G104" s="208">
        <v>2.88</v>
      </c>
      <c r="H104" s="8">
        <f t="shared" si="68"/>
        <v>806.7</v>
      </c>
      <c r="I104" s="208">
        <v>0</v>
      </c>
      <c r="J104" s="208">
        <v>802</v>
      </c>
      <c r="K104" s="208">
        <v>4.7</v>
      </c>
      <c r="M104" s="59" t="s">
        <v>700</v>
      </c>
      <c r="N104" s="5" t="s">
        <v>74</v>
      </c>
      <c r="O104" s="23">
        <f t="shared" si="69"/>
        <v>0</v>
      </c>
      <c r="P104" s="23">
        <f t="shared" si="64"/>
        <v>0.99418040737148405</v>
      </c>
      <c r="Q104" s="23">
        <f t="shared" si="65"/>
        <v>5.8195926285160033E-3</v>
      </c>
      <c r="R104" s="23">
        <f t="shared" si="70"/>
        <v>0</v>
      </c>
      <c r="S104" s="23">
        <f t="shared" si="66"/>
        <v>0.99417379447130283</v>
      </c>
      <c r="T104" s="23">
        <f t="shared" si="66"/>
        <v>5.8262055286971608E-3</v>
      </c>
    </row>
    <row r="105" spans="2:20" x14ac:dyDescent="0.35">
      <c r="B105" s="59" t="s">
        <v>702</v>
      </c>
      <c r="C105" s="5" t="s">
        <v>703</v>
      </c>
      <c r="D105" s="8">
        <f t="shared" si="67"/>
        <v>2.4585499999999999E-6</v>
      </c>
      <c r="E105" s="208">
        <v>0</v>
      </c>
      <c r="F105" s="208">
        <v>2.4499999999999998E-6</v>
      </c>
      <c r="G105" s="208">
        <v>8.5500000000000005E-9</v>
      </c>
      <c r="H105" s="8">
        <f t="shared" si="68"/>
        <v>4.0040000000000001E-6</v>
      </c>
      <c r="I105" s="208">
        <v>0</v>
      </c>
      <c r="J105" s="208">
        <v>3.9899999999999999E-6</v>
      </c>
      <c r="K105" s="208">
        <v>1.4E-8</v>
      </c>
      <c r="M105" s="59" t="s">
        <v>702</v>
      </c>
      <c r="N105" s="5" t="s">
        <v>74</v>
      </c>
      <c r="O105" s="23">
        <f t="shared" si="69"/>
        <v>0</v>
      </c>
      <c r="P105" s="23">
        <f t="shared" si="64"/>
        <v>0.99652234040389653</v>
      </c>
      <c r="Q105" s="23">
        <f t="shared" si="65"/>
        <v>3.4776595961033946E-3</v>
      </c>
      <c r="R105" s="23">
        <f t="shared" si="70"/>
        <v>0</v>
      </c>
      <c r="S105" s="23">
        <f t="shared" si="66"/>
        <v>0.99650349650349646</v>
      </c>
      <c r="T105" s="23">
        <f t="shared" si="66"/>
        <v>3.4965034965034965E-3</v>
      </c>
    </row>
    <row r="106" spans="2:20" ht="16.5" x14ac:dyDescent="0.45">
      <c r="B106" s="59" t="s">
        <v>704</v>
      </c>
      <c r="C106" s="5" t="s">
        <v>705</v>
      </c>
      <c r="D106" s="8">
        <f t="shared" si="67"/>
        <v>0.51400736999999996</v>
      </c>
      <c r="E106" s="208">
        <v>0</v>
      </c>
      <c r="F106" s="208">
        <v>0.51400000000000001</v>
      </c>
      <c r="G106" s="208">
        <v>7.3699999999999997E-6</v>
      </c>
      <c r="H106" s="8">
        <f t="shared" si="68"/>
        <v>0.83901199999999998</v>
      </c>
      <c r="I106" s="208">
        <v>0</v>
      </c>
      <c r="J106" s="208">
        <v>0.83899999999999997</v>
      </c>
      <c r="K106" s="208">
        <v>1.2E-5</v>
      </c>
      <c r="M106" s="59" t="s">
        <v>704</v>
      </c>
      <c r="N106" s="5" t="s">
        <v>74</v>
      </c>
      <c r="O106" s="23">
        <f t="shared" si="69"/>
        <v>0</v>
      </c>
      <c r="P106" s="23">
        <f t="shared" si="64"/>
        <v>0.99998566168418956</v>
      </c>
      <c r="Q106" s="23">
        <f t="shared" si="65"/>
        <v>1.433831581053011E-5</v>
      </c>
      <c r="R106" s="23">
        <f t="shared" si="70"/>
        <v>0</v>
      </c>
      <c r="S106" s="23">
        <f t="shared" si="66"/>
        <v>0.99998569746320676</v>
      </c>
      <c r="T106" s="23">
        <f t="shared" si="66"/>
        <v>1.4302536793275902E-5</v>
      </c>
    </row>
    <row r="107" spans="2:20" x14ac:dyDescent="0.35">
      <c r="B107" s="59" t="s">
        <v>706</v>
      </c>
      <c r="C107" s="5" t="s">
        <v>707</v>
      </c>
      <c r="D107" s="8">
        <f t="shared" si="67"/>
        <v>4603.3500000000004</v>
      </c>
      <c r="E107" s="208">
        <v>0</v>
      </c>
      <c r="F107" s="208">
        <v>4600</v>
      </c>
      <c r="G107" s="208">
        <v>3.35</v>
      </c>
      <c r="H107" s="8">
        <f t="shared" si="68"/>
        <v>7505.47</v>
      </c>
      <c r="I107" s="208">
        <v>0</v>
      </c>
      <c r="J107" s="208">
        <v>7500</v>
      </c>
      <c r="K107" s="208">
        <v>5.47</v>
      </c>
      <c r="M107" s="59" t="s">
        <v>706</v>
      </c>
      <c r="N107" s="5" t="s">
        <v>74</v>
      </c>
      <c r="O107" s="23">
        <f t="shared" si="69"/>
        <v>0</v>
      </c>
      <c r="P107" s="23">
        <f t="shared" si="64"/>
        <v>0.99927226910836664</v>
      </c>
      <c r="Q107" s="23">
        <f t="shared" si="65"/>
        <v>7.27730891633267E-4</v>
      </c>
      <c r="R107" s="23">
        <f t="shared" si="70"/>
        <v>0</v>
      </c>
      <c r="S107" s="23">
        <f t="shared" si="66"/>
        <v>0.99927119820610832</v>
      </c>
      <c r="T107" s="23">
        <f t="shared" si="66"/>
        <v>7.2880179389165495E-4</v>
      </c>
    </row>
    <row r="108" spans="2:20" x14ac:dyDescent="0.35">
      <c r="B108" s="59" t="s">
        <v>708</v>
      </c>
      <c r="C108" s="5" t="s">
        <v>709</v>
      </c>
      <c r="D108" s="8">
        <f t="shared" si="67"/>
        <v>820.80100000000004</v>
      </c>
      <c r="E108" s="208">
        <v>0</v>
      </c>
      <c r="F108" s="208">
        <v>820</v>
      </c>
      <c r="G108" s="208">
        <v>0.80100000000000005</v>
      </c>
      <c r="H108" s="8">
        <f t="shared" si="68"/>
        <v>1341.31</v>
      </c>
      <c r="I108" s="208">
        <v>0</v>
      </c>
      <c r="J108" s="208">
        <v>1340</v>
      </c>
      <c r="K108" s="208">
        <v>1.31</v>
      </c>
      <c r="M108" s="59" t="s">
        <v>708</v>
      </c>
      <c r="N108" s="5" t="s">
        <v>74</v>
      </c>
      <c r="O108" s="23">
        <f t="shared" si="69"/>
        <v>0</v>
      </c>
      <c r="P108" s="23">
        <f t="shared" si="64"/>
        <v>0.9990241239959502</v>
      </c>
      <c r="Q108" s="23">
        <f t="shared" si="65"/>
        <v>9.7587600404970272E-4</v>
      </c>
      <c r="R108" s="23">
        <f t="shared" si="70"/>
        <v>0</v>
      </c>
      <c r="S108" s="23">
        <f t="shared" si="66"/>
        <v>0.9990233428513916</v>
      </c>
      <c r="T108" s="23">
        <f t="shared" si="66"/>
        <v>9.7665714860845011E-4</v>
      </c>
    </row>
    <row r="109" spans="2:20" ht="16.5" x14ac:dyDescent="0.45">
      <c r="B109" s="59" t="s">
        <v>710</v>
      </c>
      <c r="C109" s="5" t="s">
        <v>711</v>
      </c>
      <c r="D109" s="8">
        <f t="shared" si="67"/>
        <v>7.7012600000000004</v>
      </c>
      <c r="E109" s="208">
        <v>0</v>
      </c>
      <c r="F109" s="208">
        <v>7.7</v>
      </c>
      <c r="G109" s="208">
        <v>1.2600000000000001E-3</v>
      </c>
      <c r="H109" s="8">
        <f t="shared" si="68"/>
        <v>12.60205</v>
      </c>
      <c r="I109" s="208">
        <v>0</v>
      </c>
      <c r="J109" s="208">
        <v>12.6</v>
      </c>
      <c r="K109" s="208">
        <v>2.0500000000000002E-3</v>
      </c>
      <c r="M109" s="59" t="s">
        <v>710</v>
      </c>
      <c r="N109" s="5" t="s">
        <v>74</v>
      </c>
      <c r="O109" s="23">
        <f t="shared" si="69"/>
        <v>0</v>
      </c>
      <c r="P109" s="23">
        <f t="shared" si="64"/>
        <v>0.9998363904088422</v>
      </c>
      <c r="Q109" s="23">
        <f t="shared" si="65"/>
        <v>1.6360959115781053E-4</v>
      </c>
      <c r="R109" s="23">
        <f t="shared" si="70"/>
        <v>0</v>
      </c>
      <c r="S109" s="23">
        <f t="shared" si="66"/>
        <v>0.99983732805376901</v>
      </c>
      <c r="T109" s="23">
        <f t="shared" si="66"/>
        <v>1.6267194623097037E-4</v>
      </c>
    </row>
    <row r="110" spans="2:20" x14ac:dyDescent="0.35">
      <c r="B110" s="59" t="s">
        <v>712</v>
      </c>
      <c r="C110" s="5" t="s">
        <v>713</v>
      </c>
      <c r="D110" s="8">
        <f t="shared" si="67"/>
        <v>0.40987799999999996</v>
      </c>
      <c r="E110" s="208">
        <v>0</v>
      </c>
      <c r="F110" s="208">
        <v>0.40899999999999997</v>
      </c>
      <c r="G110" s="208">
        <v>8.7799999999999998E-4</v>
      </c>
      <c r="H110" s="8">
        <f t="shared" si="68"/>
        <v>0.66943000000000008</v>
      </c>
      <c r="I110" s="208">
        <v>0</v>
      </c>
      <c r="J110" s="208">
        <v>0.66800000000000004</v>
      </c>
      <c r="K110" s="208">
        <v>1.4300000000000001E-3</v>
      </c>
      <c r="M110" s="59" t="s">
        <v>712</v>
      </c>
      <c r="N110" s="5" t="s">
        <v>74</v>
      </c>
      <c r="O110" s="23">
        <f t="shared" si="69"/>
        <v>0</v>
      </c>
      <c r="P110" s="23">
        <f t="shared" si="64"/>
        <v>0.99785789917975598</v>
      </c>
      <c r="Q110" s="23">
        <f t="shared" si="65"/>
        <v>2.1421008202440728E-3</v>
      </c>
      <c r="R110" s="23">
        <f t="shared" si="70"/>
        <v>0</v>
      </c>
      <c r="S110" s="23">
        <f t="shared" si="66"/>
        <v>0.99786385432382763</v>
      </c>
      <c r="T110" s="23">
        <f t="shared" si="66"/>
        <v>2.1361456761722656E-3</v>
      </c>
    </row>
    <row r="111" spans="2:20" ht="16.5" x14ac:dyDescent="0.45">
      <c r="B111" s="59" t="s">
        <v>714</v>
      </c>
      <c r="C111" s="5" t="s">
        <v>711</v>
      </c>
      <c r="D111" s="8">
        <f t="shared" si="67"/>
        <v>2.4404319999999999</v>
      </c>
      <c r="E111" s="208">
        <v>0</v>
      </c>
      <c r="F111" s="208">
        <v>2.44</v>
      </c>
      <c r="G111" s="208">
        <v>4.3199999999999998E-4</v>
      </c>
      <c r="H111" s="8">
        <f t="shared" si="68"/>
        <v>3.970704</v>
      </c>
      <c r="I111" s="208">
        <v>0</v>
      </c>
      <c r="J111" s="208">
        <v>3.97</v>
      </c>
      <c r="K111" s="208">
        <v>7.0399999999999998E-4</v>
      </c>
      <c r="M111" s="59" t="s">
        <v>714</v>
      </c>
      <c r="N111" s="5" t="s">
        <v>74</v>
      </c>
      <c r="O111" s="23">
        <f t="shared" si="69"/>
        <v>0</v>
      </c>
      <c r="P111" s="23">
        <f t="shared" si="64"/>
        <v>0.99982298216053556</v>
      </c>
      <c r="Q111" s="23">
        <f t="shared" si="65"/>
        <v>1.7701783946448825E-4</v>
      </c>
      <c r="R111" s="23">
        <f t="shared" si="70"/>
        <v>0</v>
      </c>
      <c r="S111" s="23">
        <f t="shared" si="66"/>
        <v>0.99982270146553365</v>
      </c>
      <c r="T111" s="23">
        <f t="shared" si="66"/>
        <v>1.7729853446643215E-4</v>
      </c>
    </row>
    <row r="112" spans="2:20" ht="16.5" x14ac:dyDescent="0.45">
      <c r="B112" s="59" t="s">
        <v>715</v>
      </c>
      <c r="C112" s="5" t="s">
        <v>716</v>
      </c>
      <c r="D112" s="8">
        <f t="shared" si="67"/>
        <v>0.10200814</v>
      </c>
      <c r="E112" s="208">
        <v>0</v>
      </c>
      <c r="F112" s="208">
        <v>0.10199999999999999</v>
      </c>
      <c r="G112" s="208">
        <v>8.14E-6</v>
      </c>
      <c r="H112" s="8">
        <f t="shared" si="68"/>
        <v>0.1660133</v>
      </c>
      <c r="I112" s="208">
        <v>0</v>
      </c>
      <c r="J112" s="208">
        <v>0.16600000000000001</v>
      </c>
      <c r="K112" s="208">
        <v>1.33E-5</v>
      </c>
      <c r="M112" s="59" t="s">
        <v>715</v>
      </c>
      <c r="N112" s="5" t="s">
        <v>74</v>
      </c>
      <c r="O112" s="23">
        <f t="shared" si="69"/>
        <v>0</v>
      </c>
      <c r="P112" s="23">
        <f t="shared" si="64"/>
        <v>0.99992020244658908</v>
      </c>
      <c r="Q112" s="23">
        <f t="shared" si="65"/>
        <v>7.9797553410933678E-5</v>
      </c>
      <c r="R112" s="23">
        <f t="shared" si="70"/>
        <v>0</v>
      </c>
      <c r="S112" s="23">
        <f t="shared" si="66"/>
        <v>0.99991988593684966</v>
      </c>
      <c r="T112" s="23">
        <f t="shared" si="66"/>
        <v>8.0114063150362041E-5</v>
      </c>
    </row>
    <row r="113" spans="2:20" ht="16.5" x14ac:dyDescent="0.45">
      <c r="B113" s="209" t="s">
        <v>717</v>
      </c>
      <c r="C113" s="210" t="s">
        <v>671</v>
      </c>
      <c r="D113" s="211">
        <f t="shared" si="67"/>
        <v>476.06299999999999</v>
      </c>
      <c r="E113" s="213">
        <v>0</v>
      </c>
      <c r="F113" s="213">
        <v>476</v>
      </c>
      <c r="G113" s="213">
        <v>6.3E-2</v>
      </c>
      <c r="H113" s="211">
        <f t="shared" si="68"/>
        <v>777.10299999999995</v>
      </c>
      <c r="I113" s="213">
        <v>0</v>
      </c>
      <c r="J113" s="213">
        <v>777</v>
      </c>
      <c r="K113" s="213">
        <v>0.10299999999999999</v>
      </c>
      <c r="M113" s="209" t="s">
        <v>717</v>
      </c>
      <c r="N113" s="210" t="s">
        <v>74</v>
      </c>
      <c r="O113" s="217">
        <f t="shared" si="69"/>
        <v>0</v>
      </c>
      <c r="P113" s="217">
        <f t="shared" si="64"/>
        <v>0.99986766457380638</v>
      </c>
      <c r="Q113" s="217">
        <f t="shared" si="65"/>
        <v>1.3233542619359203E-4</v>
      </c>
      <c r="R113" s="217">
        <f t="shared" si="70"/>
        <v>0</v>
      </c>
      <c r="S113" s="217">
        <f t="shared" si="66"/>
        <v>0.9998674564375637</v>
      </c>
      <c r="T113" s="217">
        <f t="shared" si="66"/>
        <v>1.3254356243638232E-4</v>
      </c>
    </row>
    <row r="114" spans="2:20" x14ac:dyDescent="0.35">
      <c r="B114" s="59" t="s">
        <v>718</v>
      </c>
      <c r="C114" s="5" t="s">
        <v>673</v>
      </c>
      <c r="D114" s="8">
        <f t="shared" si="67"/>
        <v>15801.28</v>
      </c>
      <c r="E114" s="208">
        <v>0</v>
      </c>
      <c r="F114" s="208">
        <v>15800</v>
      </c>
      <c r="G114" s="208">
        <v>1.28</v>
      </c>
      <c r="H114" s="8">
        <f t="shared" si="68"/>
        <v>25802.09</v>
      </c>
      <c r="I114" s="208">
        <v>0</v>
      </c>
      <c r="J114" s="208">
        <v>25800</v>
      </c>
      <c r="K114" s="208">
        <v>2.09</v>
      </c>
      <c r="M114" s="59" t="s">
        <v>718</v>
      </c>
      <c r="N114" s="5" t="s">
        <v>74</v>
      </c>
      <c r="O114" s="23">
        <f t="shared" si="69"/>
        <v>0</v>
      </c>
      <c r="P114" s="23">
        <f t="shared" si="64"/>
        <v>0.99991899390429129</v>
      </c>
      <c r="Q114" s="23">
        <f t="shared" si="65"/>
        <v>8.1006095708702075E-5</v>
      </c>
      <c r="R114" s="23">
        <f t="shared" si="70"/>
        <v>0</v>
      </c>
      <c r="S114" s="23">
        <f t="shared" si="66"/>
        <v>0.9999189988097863</v>
      </c>
      <c r="T114" s="23">
        <f t="shared" si="66"/>
        <v>8.1001190213660977E-5</v>
      </c>
    </row>
    <row r="115" spans="2:20" x14ac:dyDescent="0.35">
      <c r="B115" s="59" t="s">
        <v>719</v>
      </c>
      <c r="C115" s="5" t="s">
        <v>720</v>
      </c>
      <c r="D115" s="8">
        <f t="shared" si="67"/>
        <v>1.030716</v>
      </c>
      <c r="E115" s="208">
        <v>0</v>
      </c>
      <c r="F115" s="208">
        <v>1.03</v>
      </c>
      <c r="G115" s="208">
        <v>7.1599999999999995E-4</v>
      </c>
      <c r="H115" s="8">
        <f t="shared" si="68"/>
        <v>1.6811699999999998</v>
      </c>
      <c r="I115" s="208">
        <v>0</v>
      </c>
      <c r="J115" s="208">
        <v>1.68</v>
      </c>
      <c r="K115" s="208">
        <v>1.17E-3</v>
      </c>
      <c r="M115" s="59" t="s">
        <v>719</v>
      </c>
      <c r="N115" s="5" t="s">
        <v>74</v>
      </c>
      <c r="O115" s="23">
        <f t="shared" si="69"/>
        <v>0</v>
      </c>
      <c r="P115" s="23">
        <f t="shared" si="64"/>
        <v>0.99930533726070037</v>
      </c>
      <c r="Q115" s="23">
        <f t="shared" si="65"/>
        <v>6.9466273929967126E-4</v>
      </c>
      <c r="R115" s="23">
        <f t="shared" si="70"/>
        <v>0</v>
      </c>
      <c r="S115" s="23">
        <f t="shared" si="66"/>
        <v>0.99930405610378492</v>
      </c>
      <c r="T115" s="23">
        <f t="shared" si="66"/>
        <v>6.9594389621513593E-4</v>
      </c>
    </row>
    <row r="117" spans="2:20" ht="16.5" x14ac:dyDescent="0.45">
      <c r="B117" s="315" t="s">
        <v>679</v>
      </c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</row>
    <row r="119" spans="2:20" ht="29" x14ac:dyDescent="0.35">
      <c r="B119" s="207" t="s">
        <v>660</v>
      </c>
      <c r="C119" s="207" t="s">
        <v>477</v>
      </c>
      <c r="D119" s="207" t="s">
        <v>15</v>
      </c>
      <c r="E119" s="207" t="s">
        <v>680</v>
      </c>
      <c r="F119" s="207" t="s">
        <v>681</v>
      </c>
      <c r="G119" s="207" t="s">
        <v>297</v>
      </c>
      <c r="H119" s="207" t="s">
        <v>515</v>
      </c>
      <c r="I119" s="207" t="s">
        <v>665</v>
      </c>
      <c r="M119" s="207" t="s">
        <v>660</v>
      </c>
      <c r="N119" s="207" t="s">
        <v>477</v>
      </c>
      <c r="O119" s="207" t="s">
        <v>680</v>
      </c>
      <c r="P119" s="207" t="s">
        <v>681</v>
      </c>
      <c r="Q119" s="207" t="s">
        <v>297</v>
      </c>
      <c r="R119" s="207" t="s">
        <v>515</v>
      </c>
      <c r="S119" s="207" t="s">
        <v>665</v>
      </c>
    </row>
    <row r="120" spans="2:20" ht="16.5" x14ac:dyDescent="0.45">
      <c r="B120" s="59" t="s">
        <v>695</v>
      </c>
      <c r="C120" s="5" t="s">
        <v>696</v>
      </c>
      <c r="D120" s="8">
        <f>SUM(E120:I120)</f>
        <v>58.346400004439992</v>
      </c>
      <c r="E120" s="208">
        <v>0</v>
      </c>
      <c r="F120" s="208">
        <f>D139</f>
        <v>0.8347</v>
      </c>
      <c r="G120" s="208">
        <v>57.5</v>
      </c>
      <c r="H120" s="208">
        <v>4.4400000000000004E-9</v>
      </c>
      <c r="I120" s="208">
        <v>1.17E-2</v>
      </c>
      <c r="M120" s="59" t="s">
        <v>695</v>
      </c>
      <c r="N120" s="5" t="s">
        <v>74</v>
      </c>
      <c r="O120" s="23">
        <f>E120/$D120</f>
        <v>0</v>
      </c>
      <c r="P120" s="23">
        <f t="shared" ref="P120:P134" si="71">F120/$D120</f>
        <v>1.4305938325868978E-2</v>
      </c>
      <c r="Q120" s="23">
        <f t="shared" ref="Q120:Q134" si="72">G120/$D120</f>
        <v>0.98549353508741611</v>
      </c>
      <c r="R120" s="23">
        <f t="shared" ref="R120:R134" si="73">H120/$D120</f>
        <v>7.6097239926750052E-11</v>
      </c>
      <c r="S120" s="23">
        <f t="shared" ref="S120:S134" si="74">I120/$D120</f>
        <v>2.0052651061778728E-4</v>
      </c>
    </row>
    <row r="121" spans="2:20" ht="16.5" x14ac:dyDescent="0.45">
      <c r="B121" s="59" t="s">
        <v>697</v>
      </c>
      <c r="C121" s="5" t="s">
        <v>696</v>
      </c>
      <c r="D121" s="8">
        <f t="shared" ref="D121:D134" si="75">SUM(E121:I121)</f>
        <v>3.3281400951000002</v>
      </c>
      <c r="E121" s="208">
        <v>0</v>
      </c>
      <c r="F121" s="208">
        <f t="shared" ref="F121:F134" si="76">D140</f>
        <v>0.70372000000000012</v>
      </c>
      <c r="G121" s="208">
        <v>2.62</v>
      </c>
      <c r="H121" s="208">
        <v>9.5099999999999998E-8</v>
      </c>
      <c r="I121" s="208">
        <v>4.4200000000000003E-3</v>
      </c>
      <c r="M121" s="59" t="s">
        <v>697</v>
      </c>
      <c r="N121" s="5" t="s">
        <v>74</v>
      </c>
      <c r="O121" s="23">
        <f t="shared" ref="O121:O134" si="77">E121/$D121</f>
        <v>0</v>
      </c>
      <c r="P121" s="23">
        <f t="shared" si="71"/>
        <v>0.21144542594107824</v>
      </c>
      <c r="Q121" s="23">
        <f t="shared" si="72"/>
        <v>0.78722647639064525</v>
      </c>
      <c r="R121" s="23">
        <f t="shared" si="73"/>
        <v>2.8574518284255861E-8</v>
      </c>
      <c r="S121" s="23">
        <f t="shared" si="74"/>
        <v>1.3280690937582643E-3</v>
      </c>
    </row>
    <row r="122" spans="2:20" x14ac:dyDescent="0.35">
      <c r="B122" s="59" t="s">
        <v>698</v>
      </c>
      <c r="C122" s="5" t="s">
        <v>699</v>
      </c>
      <c r="D122" s="8">
        <f t="shared" si="75"/>
        <v>0.82096670128000004</v>
      </c>
      <c r="E122" s="208">
        <v>0</v>
      </c>
      <c r="F122" s="208">
        <f t="shared" si="76"/>
        <v>4.4978700000000003E-2</v>
      </c>
      <c r="G122" s="208">
        <v>0.77500000000000002</v>
      </c>
      <c r="H122" s="208">
        <v>1.2799999999999999E-9</v>
      </c>
      <c r="I122" s="208">
        <v>9.8799999999999995E-4</v>
      </c>
      <c r="M122" s="59" t="s">
        <v>698</v>
      </c>
      <c r="N122" s="5" t="s">
        <v>74</v>
      </c>
      <c r="O122" s="23">
        <f t="shared" si="77"/>
        <v>0</v>
      </c>
      <c r="P122" s="23">
        <f t="shared" si="71"/>
        <v>5.4787483986709844E-2</v>
      </c>
      <c r="Q122" s="23">
        <f t="shared" si="72"/>
        <v>0.944009055168338</v>
      </c>
      <c r="R122" s="23">
        <f t="shared" si="73"/>
        <v>1.5591375362780291E-9</v>
      </c>
      <c r="S122" s="23">
        <f t="shared" si="74"/>
        <v>1.2034592858146038E-3</v>
      </c>
    </row>
    <row r="123" spans="2:20" x14ac:dyDescent="0.35">
      <c r="B123" s="59" t="s">
        <v>700</v>
      </c>
      <c r="C123" s="5" t="s">
        <v>701</v>
      </c>
      <c r="D123" s="8">
        <f t="shared" si="75"/>
        <v>1293.9008729999998</v>
      </c>
      <c r="E123" s="208">
        <v>0</v>
      </c>
      <c r="F123" s="208">
        <f t="shared" si="76"/>
        <v>1239.3</v>
      </c>
      <c r="G123" s="208">
        <v>19.3</v>
      </c>
      <c r="H123" s="208">
        <v>8.7299999999999997E-4</v>
      </c>
      <c r="I123" s="208">
        <v>35.299999999999997</v>
      </c>
      <c r="M123" s="59" t="s">
        <v>700</v>
      </c>
      <c r="N123" s="5" t="s">
        <v>74</v>
      </c>
      <c r="O123" s="23">
        <f t="shared" si="77"/>
        <v>0</v>
      </c>
      <c r="P123" s="23">
        <f t="shared" si="71"/>
        <v>0.95780134773894698</v>
      </c>
      <c r="Q123" s="23">
        <f t="shared" si="72"/>
        <v>1.4916134924039117E-2</v>
      </c>
      <c r="R123" s="23">
        <f t="shared" si="73"/>
        <v>6.7470392687493E-7</v>
      </c>
      <c r="S123" s="23">
        <f t="shared" si="74"/>
        <v>2.7281842633087087E-2</v>
      </c>
    </row>
    <row r="124" spans="2:20" x14ac:dyDescent="0.35">
      <c r="B124" s="59" t="s">
        <v>702</v>
      </c>
      <c r="C124" s="5" t="s">
        <v>703</v>
      </c>
      <c r="D124" s="8">
        <f t="shared" si="75"/>
        <v>6.4379700000031607E-6</v>
      </c>
      <c r="E124" s="208">
        <v>0</v>
      </c>
      <c r="F124" s="208">
        <f t="shared" si="76"/>
        <v>5.7809700000000007E-6</v>
      </c>
      <c r="G124" s="208">
        <v>5.5199999999999997E-7</v>
      </c>
      <c r="H124" s="208">
        <v>3.1600000000000001E-18</v>
      </c>
      <c r="I124" s="208">
        <v>1.05E-7</v>
      </c>
      <c r="M124" s="59" t="s">
        <v>702</v>
      </c>
      <c r="N124" s="5" t="s">
        <v>74</v>
      </c>
      <c r="O124" s="23">
        <f t="shared" si="77"/>
        <v>0</v>
      </c>
      <c r="P124" s="23">
        <f t="shared" si="71"/>
        <v>0.8979491982716854</v>
      </c>
      <c r="Q124" s="23">
        <f t="shared" si="72"/>
        <v>8.5741312867212635E-2</v>
      </c>
      <c r="R124" s="23">
        <f t="shared" si="73"/>
        <v>4.9083795047172457E-13</v>
      </c>
      <c r="S124" s="23">
        <f t="shared" si="74"/>
        <v>1.63094888606111E-2</v>
      </c>
    </row>
    <row r="125" spans="2:20" ht="16.5" x14ac:dyDescent="0.45">
      <c r="B125" s="59" t="s">
        <v>704</v>
      </c>
      <c r="C125" s="5" t="s">
        <v>705</v>
      </c>
      <c r="D125" s="8">
        <f t="shared" si="75"/>
        <v>1.3511619225000002</v>
      </c>
      <c r="E125" s="208">
        <v>0</v>
      </c>
      <c r="F125" s="208">
        <f t="shared" si="76"/>
        <v>1.1071699999999999E-2</v>
      </c>
      <c r="G125" s="208">
        <v>1.34</v>
      </c>
      <c r="H125" s="208">
        <v>2.25E-8</v>
      </c>
      <c r="I125" s="208">
        <v>9.0199999999999997E-5</v>
      </c>
      <c r="M125" s="59" t="s">
        <v>704</v>
      </c>
      <c r="N125" s="5" t="s">
        <v>74</v>
      </c>
      <c r="O125" s="23">
        <f t="shared" si="77"/>
        <v>0</v>
      </c>
      <c r="P125" s="23">
        <f t="shared" si="71"/>
        <v>8.1942066421724497E-3</v>
      </c>
      <c r="Q125" s="23">
        <f t="shared" si="72"/>
        <v>0.99173901934762365</v>
      </c>
      <c r="R125" s="23">
        <f t="shared" si="73"/>
        <v>1.6652334280090694E-8</v>
      </c>
      <c r="S125" s="23">
        <f t="shared" si="74"/>
        <v>6.6757357869519132E-5</v>
      </c>
    </row>
    <row r="126" spans="2:20" x14ac:dyDescent="0.35">
      <c r="B126" s="59" t="s">
        <v>706</v>
      </c>
      <c r="C126" s="5" t="s">
        <v>707</v>
      </c>
      <c r="D126" s="8">
        <f t="shared" si="75"/>
        <v>12108.870499999999</v>
      </c>
      <c r="E126" s="208">
        <v>0</v>
      </c>
      <c r="F126" s="208">
        <f t="shared" si="76"/>
        <v>3007.83</v>
      </c>
      <c r="G126" s="208">
        <v>9060</v>
      </c>
      <c r="H126" s="208">
        <v>4.0500000000000001E-2</v>
      </c>
      <c r="I126" s="208">
        <v>41</v>
      </c>
      <c r="M126" s="59" t="s">
        <v>706</v>
      </c>
      <c r="N126" s="5" t="s">
        <v>74</v>
      </c>
      <c r="O126" s="23">
        <f t="shared" si="77"/>
        <v>0</v>
      </c>
      <c r="P126" s="23">
        <f t="shared" si="71"/>
        <v>0.24839889071404309</v>
      </c>
      <c r="Q126" s="23">
        <f t="shared" si="72"/>
        <v>0.74821181711374329</v>
      </c>
      <c r="R126" s="23">
        <f t="shared" si="73"/>
        <v>3.3446554738528259E-6</v>
      </c>
      <c r="S126" s="23">
        <f t="shared" si="74"/>
        <v>3.3859475167398977E-3</v>
      </c>
    </row>
    <row r="127" spans="2:20" x14ac:dyDescent="0.35">
      <c r="B127" s="59" t="s">
        <v>708</v>
      </c>
      <c r="C127" s="5" t="s">
        <v>709</v>
      </c>
      <c r="D127" s="8">
        <f t="shared" si="75"/>
        <v>2157.83000855</v>
      </c>
      <c r="E127" s="208">
        <v>0</v>
      </c>
      <c r="F127" s="208">
        <f t="shared" si="76"/>
        <v>1278.0299999999997</v>
      </c>
      <c r="G127" s="208">
        <v>870</v>
      </c>
      <c r="H127" s="208">
        <v>8.5499999999999995E-6</v>
      </c>
      <c r="I127" s="208">
        <v>9.8000000000000007</v>
      </c>
      <c r="M127" s="59" t="s">
        <v>708</v>
      </c>
      <c r="N127" s="5" t="s">
        <v>74</v>
      </c>
      <c r="O127" s="23">
        <f t="shared" si="77"/>
        <v>0</v>
      </c>
      <c r="P127" s="23">
        <f t="shared" si="71"/>
        <v>0.59227557079846127</v>
      </c>
      <c r="Q127" s="23">
        <f t="shared" si="72"/>
        <v>0.40318282559459589</v>
      </c>
      <c r="R127" s="23">
        <f t="shared" si="73"/>
        <v>3.9623139756710285E-9</v>
      </c>
      <c r="S127" s="23">
        <f t="shared" si="74"/>
        <v>4.5415996446287812E-3</v>
      </c>
    </row>
    <row r="128" spans="2:20" ht="16.5" x14ac:dyDescent="0.45">
      <c r="B128" s="59" t="s">
        <v>710</v>
      </c>
      <c r="C128" s="5" t="s">
        <v>711</v>
      </c>
      <c r="D128" s="8">
        <f t="shared" si="75"/>
        <v>20.267790055100001</v>
      </c>
      <c r="E128" s="208">
        <v>0</v>
      </c>
      <c r="F128" s="208">
        <f t="shared" si="76"/>
        <v>0.65238999999999991</v>
      </c>
      <c r="G128" s="208">
        <v>19.600000000000001</v>
      </c>
      <c r="H128" s="208">
        <v>5.5099999999999997E-8</v>
      </c>
      <c r="I128" s="208">
        <v>1.54E-2</v>
      </c>
      <c r="M128" s="59" t="s">
        <v>710</v>
      </c>
      <c r="N128" s="5" t="s">
        <v>74</v>
      </c>
      <c r="O128" s="23">
        <f t="shared" si="77"/>
        <v>0</v>
      </c>
      <c r="P128" s="23">
        <f t="shared" si="71"/>
        <v>3.2188511832144148E-2</v>
      </c>
      <c r="Q128" s="23">
        <f t="shared" si="72"/>
        <v>0.96705165914564217</v>
      </c>
      <c r="R128" s="23">
        <f t="shared" si="73"/>
        <v>2.7185993070880038E-9</v>
      </c>
      <c r="S128" s="23">
        <f t="shared" si="74"/>
        <v>7.5982630361443309E-4</v>
      </c>
    </row>
    <row r="129" spans="2:19" x14ac:dyDescent="0.35">
      <c r="B129" s="59" t="s">
        <v>712</v>
      </c>
      <c r="C129" s="5" t="s">
        <v>713</v>
      </c>
      <c r="D129" s="8">
        <f t="shared" si="75"/>
        <v>1.0769699999999998</v>
      </c>
      <c r="E129" s="208">
        <v>0</v>
      </c>
      <c r="F129" s="208">
        <f t="shared" si="76"/>
        <v>0.98176999999999992</v>
      </c>
      <c r="G129" s="208">
        <v>8.4400000000000003E-2</v>
      </c>
      <c r="H129" s="208">
        <v>0</v>
      </c>
      <c r="I129" s="208">
        <v>1.0800000000000001E-2</v>
      </c>
      <c r="M129" s="59" t="s">
        <v>712</v>
      </c>
      <c r="N129" s="5" t="s">
        <v>74</v>
      </c>
      <c r="O129" s="23">
        <f t="shared" si="77"/>
        <v>0</v>
      </c>
      <c r="P129" s="23">
        <f t="shared" si="71"/>
        <v>0.9116038515464685</v>
      </c>
      <c r="Q129" s="23">
        <f t="shared" si="72"/>
        <v>7.8368013965105829E-2</v>
      </c>
      <c r="R129" s="23">
        <f t="shared" si="73"/>
        <v>0</v>
      </c>
      <c r="S129" s="23">
        <f t="shared" si="74"/>
        <v>1.0028134488425865E-2</v>
      </c>
    </row>
    <row r="130" spans="2:19" ht="16.5" x14ac:dyDescent="0.45">
      <c r="B130" s="59" t="s">
        <v>714</v>
      </c>
      <c r="C130" s="5" t="s">
        <v>711</v>
      </c>
      <c r="D130" s="8">
        <f t="shared" si="75"/>
        <v>6.4140141970000011</v>
      </c>
      <c r="E130" s="208">
        <v>0</v>
      </c>
      <c r="F130" s="208">
        <f t="shared" si="76"/>
        <v>0.21873399999999998</v>
      </c>
      <c r="G130" s="208">
        <v>6.19</v>
      </c>
      <c r="H130" s="208">
        <v>1.97E-7</v>
      </c>
      <c r="I130" s="208">
        <v>5.28E-3</v>
      </c>
      <c r="M130" s="59" t="s">
        <v>714</v>
      </c>
      <c r="N130" s="5" t="s">
        <v>74</v>
      </c>
      <c r="O130" s="23">
        <f t="shared" si="77"/>
        <v>0</v>
      </c>
      <c r="P130" s="23">
        <f t="shared" si="71"/>
        <v>3.4102512604712892E-2</v>
      </c>
      <c r="Q130" s="23">
        <f t="shared" si="72"/>
        <v>0.9650742592517525</v>
      </c>
      <c r="R130" s="23">
        <f t="shared" si="73"/>
        <v>3.0713995003650283E-8</v>
      </c>
      <c r="S130" s="23">
        <f t="shared" si="74"/>
        <v>8.2319742953945924E-4</v>
      </c>
    </row>
    <row r="131" spans="2:19" ht="16.5" x14ac:dyDescent="0.45">
      <c r="B131" s="59" t="s">
        <v>715</v>
      </c>
      <c r="C131" s="5" t="s">
        <v>716</v>
      </c>
      <c r="D131" s="8">
        <f t="shared" si="75"/>
        <v>0.26784619999999998</v>
      </c>
      <c r="E131" s="208">
        <v>0</v>
      </c>
      <c r="F131" s="208">
        <f t="shared" si="76"/>
        <v>1.0746599999999997E-2</v>
      </c>
      <c r="G131" s="208">
        <v>0.25700000000000001</v>
      </c>
      <c r="H131" s="208">
        <v>0</v>
      </c>
      <c r="I131" s="208">
        <v>9.9599999999999995E-5</v>
      </c>
      <c r="M131" s="59" t="s">
        <v>715</v>
      </c>
      <c r="N131" s="5" t="s">
        <v>74</v>
      </c>
      <c r="O131" s="23">
        <f t="shared" si="77"/>
        <v>0</v>
      </c>
      <c r="P131" s="23">
        <f t="shared" si="71"/>
        <v>4.0122279128843336E-2</v>
      </c>
      <c r="Q131" s="23">
        <f t="shared" si="72"/>
        <v>0.9595058656796327</v>
      </c>
      <c r="R131" s="23">
        <f t="shared" si="73"/>
        <v>0</v>
      </c>
      <c r="S131" s="23">
        <f t="shared" si="74"/>
        <v>3.7185519152409106E-4</v>
      </c>
    </row>
    <row r="132" spans="2:19" ht="16.5" x14ac:dyDescent="0.45">
      <c r="B132" s="209" t="s">
        <v>717</v>
      </c>
      <c r="C132" s="210" t="s">
        <v>671</v>
      </c>
      <c r="D132" s="211">
        <f>SUM(E132:I132)</f>
        <v>1258.4177000013799</v>
      </c>
      <c r="E132" s="213">
        <v>0</v>
      </c>
      <c r="F132" s="213">
        <f>D151</f>
        <v>47.646700000000003</v>
      </c>
      <c r="G132" s="213">
        <v>1210</v>
      </c>
      <c r="H132" s="213">
        <v>1.38E-9</v>
      </c>
      <c r="I132" s="213">
        <v>0.77100000000000002</v>
      </c>
      <c r="M132" s="209" t="s">
        <v>717</v>
      </c>
      <c r="N132" s="210" t="s">
        <v>74</v>
      </c>
      <c r="O132" s="217">
        <f t="shared" si="77"/>
        <v>0</v>
      </c>
      <c r="P132" s="217">
        <f t="shared" si="71"/>
        <v>3.7862388617028953E-2</v>
      </c>
      <c r="Q132" s="217">
        <f t="shared" si="72"/>
        <v>0.96152493722765753</v>
      </c>
      <c r="R132" s="217">
        <f t="shared" si="73"/>
        <v>1.0966152176646012E-12</v>
      </c>
      <c r="S132" s="217">
        <f t="shared" si="74"/>
        <v>6.1267415421696202E-4</v>
      </c>
    </row>
    <row r="133" spans="2:19" x14ac:dyDescent="0.35">
      <c r="B133" s="59" t="s">
        <v>718</v>
      </c>
      <c r="C133" s="5" t="s">
        <v>673</v>
      </c>
      <c r="D133" s="8">
        <f t="shared" si="75"/>
        <v>41625.084999999999</v>
      </c>
      <c r="E133" s="208">
        <v>0</v>
      </c>
      <c r="F133" s="208">
        <f t="shared" si="76"/>
        <v>809.26699999999983</v>
      </c>
      <c r="G133" s="208">
        <v>40800</v>
      </c>
      <c r="H133" s="208">
        <v>0.11799999999999999</v>
      </c>
      <c r="I133" s="208">
        <v>15.7</v>
      </c>
      <c r="M133" s="59" t="s">
        <v>718</v>
      </c>
      <c r="N133" s="5" t="s">
        <v>74</v>
      </c>
      <c r="O133" s="23">
        <f t="shared" si="77"/>
        <v>0</v>
      </c>
      <c r="P133" s="23">
        <f t="shared" si="71"/>
        <v>1.944181014885615E-2</v>
      </c>
      <c r="Q133" s="23">
        <f t="shared" si="72"/>
        <v>0.98017817861513079</v>
      </c>
      <c r="R133" s="23">
        <f t="shared" si="73"/>
        <v>2.8348290459947408E-6</v>
      </c>
      <c r="S133" s="23">
        <f t="shared" si="74"/>
        <v>3.7717640696709686E-4</v>
      </c>
    </row>
    <row r="134" spans="2:19" x14ac:dyDescent="0.35">
      <c r="B134" s="59" t="s">
        <v>719</v>
      </c>
      <c r="C134" s="5" t="s">
        <v>720</v>
      </c>
      <c r="D134" s="8">
        <f t="shared" si="75"/>
        <v>2.7117900000000001</v>
      </c>
      <c r="E134" s="208">
        <v>0</v>
      </c>
      <c r="F134" s="208">
        <f t="shared" si="76"/>
        <v>2.5690400000000002</v>
      </c>
      <c r="G134" s="208">
        <v>0.127</v>
      </c>
      <c r="H134" s="208">
        <v>6.9899999999999997E-3</v>
      </c>
      <c r="I134" s="208">
        <v>8.7600000000000004E-3</v>
      </c>
      <c r="M134" s="59" t="s">
        <v>719</v>
      </c>
      <c r="N134" s="5" t="s">
        <v>74</v>
      </c>
      <c r="O134" s="23">
        <f t="shared" si="77"/>
        <v>0</v>
      </c>
      <c r="P134" s="23">
        <f t="shared" si="71"/>
        <v>0.94735949317609403</v>
      </c>
      <c r="Q134" s="23">
        <f t="shared" si="72"/>
        <v>4.6832534967678176E-2</v>
      </c>
      <c r="R134" s="23">
        <f t="shared" si="73"/>
        <v>2.577633223811578E-3</v>
      </c>
      <c r="S134" s="23">
        <f t="shared" si="74"/>
        <v>3.2303386324162267E-3</v>
      </c>
    </row>
    <row r="136" spans="2:19" ht="16.5" x14ac:dyDescent="0.45">
      <c r="B136" s="315" t="s">
        <v>677</v>
      </c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</row>
    <row r="138" spans="2:19" ht="29" x14ac:dyDescent="0.35">
      <c r="B138" s="207" t="s">
        <v>660</v>
      </c>
      <c r="C138" s="207" t="s">
        <v>477</v>
      </c>
      <c r="D138" s="207" t="s">
        <v>15</v>
      </c>
      <c r="E138" s="207" t="s">
        <v>678</v>
      </c>
      <c r="F138" s="207" t="s">
        <v>675</v>
      </c>
      <c r="G138" s="207" t="s">
        <v>665</v>
      </c>
      <c r="M138" s="207" t="s">
        <v>660</v>
      </c>
      <c r="N138" s="207" t="s">
        <v>477</v>
      </c>
      <c r="O138" s="207" t="s">
        <v>678</v>
      </c>
      <c r="P138" s="207" t="s">
        <v>675</v>
      </c>
      <c r="Q138" s="207" t="s">
        <v>665</v>
      </c>
    </row>
    <row r="139" spans="2:19" ht="16.5" x14ac:dyDescent="0.45">
      <c r="B139" s="59" t="s">
        <v>695</v>
      </c>
      <c r="C139" s="5" t="s">
        <v>696</v>
      </c>
      <c r="D139" s="8">
        <f>SUM(E139:G139)</f>
        <v>0.8347</v>
      </c>
      <c r="E139" s="208">
        <v>0</v>
      </c>
      <c r="F139" s="208">
        <f>D158</f>
        <v>0.81769999999999998</v>
      </c>
      <c r="G139" s="208">
        <v>1.7000000000000001E-2</v>
      </c>
      <c r="M139" s="59" t="s">
        <v>695</v>
      </c>
      <c r="N139" s="5" t="s">
        <v>74</v>
      </c>
      <c r="O139" s="23">
        <f>E139/$D139</f>
        <v>0</v>
      </c>
      <c r="P139" s="23">
        <f t="shared" ref="P139:P153" si="78">F139/$D139</f>
        <v>0.97963340122199594</v>
      </c>
      <c r="Q139" s="23">
        <f t="shared" ref="Q139:Q153" si="79">G139/$D139</f>
        <v>2.0366598778004074E-2</v>
      </c>
    </row>
    <row r="140" spans="2:19" ht="16.5" x14ac:dyDescent="0.45">
      <c r="B140" s="59" t="s">
        <v>697</v>
      </c>
      <c r="C140" s="5" t="s">
        <v>696</v>
      </c>
      <c r="D140" s="8">
        <f t="shared" ref="D140:D153" si="80">SUM(E140:G140)</f>
        <v>0.70372000000000012</v>
      </c>
      <c r="E140" s="208">
        <v>0</v>
      </c>
      <c r="F140" s="208">
        <f t="shared" ref="F140:F153" si="81">D159</f>
        <v>0.69729000000000008</v>
      </c>
      <c r="G140" s="208">
        <v>6.43E-3</v>
      </c>
      <c r="M140" s="59" t="s">
        <v>697</v>
      </c>
      <c r="N140" s="5" t="s">
        <v>74</v>
      </c>
      <c r="O140" s="23">
        <f t="shared" ref="O140:O153" si="82">E140/$D140</f>
        <v>0</v>
      </c>
      <c r="P140" s="23">
        <f t="shared" si="78"/>
        <v>0.99086284317626327</v>
      </c>
      <c r="Q140" s="23">
        <f t="shared" si="79"/>
        <v>9.1371568237367112E-3</v>
      </c>
    </row>
    <row r="141" spans="2:19" x14ac:dyDescent="0.35">
      <c r="B141" s="59" t="s">
        <v>698</v>
      </c>
      <c r="C141" s="5" t="s">
        <v>699</v>
      </c>
      <c r="D141" s="8">
        <f t="shared" si="80"/>
        <v>4.4978700000000003E-2</v>
      </c>
      <c r="E141" s="208">
        <v>0</v>
      </c>
      <c r="F141" s="208">
        <f t="shared" si="81"/>
        <v>4.3538700000000007E-2</v>
      </c>
      <c r="G141" s="208">
        <v>1.4400000000000001E-3</v>
      </c>
      <c r="M141" s="59" t="s">
        <v>698</v>
      </c>
      <c r="N141" s="5" t="s">
        <v>74</v>
      </c>
      <c r="O141" s="23">
        <f t="shared" si="82"/>
        <v>0</v>
      </c>
      <c r="P141" s="23">
        <f t="shared" si="78"/>
        <v>0.96798484616051605</v>
      </c>
      <c r="Q141" s="23">
        <f t="shared" si="79"/>
        <v>3.2015153839484022E-2</v>
      </c>
    </row>
    <row r="142" spans="2:19" x14ac:dyDescent="0.35">
      <c r="B142" s="59" t="s">
        <v>700</v>
      </c>
      <c r="C142" s="5" t="s">
        <v>701</v>
      </c>
      <c r="D142" s="8">
        <f t="shared" si="80"/>
        <v>1239.3</v>
      </c>
      <c r="E142" s="208">
        <v>0</v>
      </c>
      <c r="F142" s="208">
        <f t="shared" si="81"/>
        <v>1188</v>
      </c>
      <c r="G142" s="208">
        <v>51.3</v>
      </c>
      <c r="M142" s="59" t="s">
        <v>700</v>
      </c>
      <c r="N142" s="5" t="s">
        <v>74</v>
      </c>
      <c r="O142" s="23">
        <f t="shared" si="82"/>
        <v>0</v>
      </c>
      <c r="P142" s="23">
        <f t="shared" si="78"/>
        <v>0.95860566448801743</v>
      </c>
      <c r="Q142" s="23">
        <f t="shared" si="79"/>
        <v>4.1394335511982572E-2</v>
      </c>
    </row>
    <row r="143" spans="2:19" x14ac:dyDescent="0.35">
      <c r="B143" s="59" t="s">
        <v>702</v>
      </c>
      <c r="C143" s="5" t="s">
        <v>703</v>
      </c>
      <c r="D143" s="8">
        <f t="shared" si="80"/>
        <v>5.7809700000000007E-6</v>
      </c>
      <c r="E143" s="208">
        <v>0</v>
      </c>
      <c r="F143" s="208">
        <f t="shared" si="81"/>
        <v>5.6289700000000003E-6</v>
      </c>
      <c r="G143" s="208">
        <v>1.5200000000000001E-7</v>
      </c>
      <c r="M143" s="59" t="s">
        <v>702</v>
      </c>
      <c r="N143" s="5" t="s">
        <v>74</v>
      </c>
      <c r="O143" s="23">
        <f t="shared" si="82"/>
        <v>0</v>
      </c>
      <c r="P143" s="23">
        <f t="shared" si="78"/>
        <v>0.9737068346661546</v>
      </c>
      <c r="Q143" s="23">
        <f t="shared" si="79"/>
        <v>2.6293165333845358E-2</v>
      </c>
    </row>
    <row r="144" spans="2:19" ht="16.5" x14ac:dyDescent="0.45">
      <c r="B144" s="59" t="s">
        <v>704</v>
      </c>
      <c r="C144" s="5" t="s">
        <v>705</v>
      </c>
      <c r="D144" s="8">
        <f t="shared" si="80"/>
        <v>1.1071699999999999E-2</v>
      </c>
      <c r="E144" s="208">
        <v>0</v>
      </c>
      <c r="F144" s="208">
        <f t="shared" si="81"/>
        <v>1.0940699999999999E-2</v>
      </c>
      <c r="G144" s="208">
        <v>1.3100000000000001E-4</v>
      </c>
      <c r="M144" s="59" t="s">
        <v>704</v>
      </c>
      <c r="N144" s="5" t="s">
        <v>74</v>
      </c>
      <c r="O144" s="23">
        <f t="shared" si="82"/>
        <v>0</v>
      </c>
      <c r="P144" s="23">
        <f t="shared" si="78"/>
        <v>0.98816803200953796</v>
      </c>
      <c r="Q144" s="23">
        <f t="shared" si="79"/>
        <v>1.1831967990462173E-2</v>
      </c>
    </row>
    <row r="145" spans="2:19" x14ac:dyDescent="0.35">
      <c r="B145" s="59" t="s">
        <v>706</v>
      </c>
      <c r="C145" s="5" t="s">
        <v>707</v>
      </c>
      <c r="D145" s="8">
        <f t="shared" si="80"/>
        <v>3007.83</v>
      </c>
      <c r="E145" s="208">
        <v>0</v>
      </c>
      <c r="F145" s="208">
        <f t="shared" si="81"/>
        <v>2948.23</v>
      </c>
      <c r="G145" s="208">
        <v>59.6</v>
      </c>
      <c r="M145" s="59" t="s">
        <v>706</v>
      </c>
      <c r="N145" s="5" t="s">
        <v>74</v>
      </c>
      <c r="O145" s="23">
        <f t="shared" si="82"/>
        <v>0</v>
      </c>
      <c r="P145" s="23">
        <f t="shared" si="78"/>
        <v>0.98018505035191483</v>
      </c>
      <c r="Q145" s="23">
        <f t="shared" si="79"/>
        <v>1.9814949648085164E-2</v>
      </c>
    </row>
    <row r="146" spans="2:19" x14ac:dyDescent="0.35">
      <c r="B146" s="59" t="s">
        <v>708</v>
      </c>
      <c r="C146" s="5" t="s">
        <v>709</v>
      </c>
      <c r="D146" s="8">
        <f t="shared" si="80"/>
        <v>1278.0299999999997</v>
      </c>
      <c r="E146" s="208">
        <v>0</v>
      </c>
      <c r="F146" s="208">
        <f t="shared" si="81"/>
        <v>1263.7299999999998</v>
      </c>
      <c r="G146" s="208">
        <v>14.3</v>
      </c>
      <c r="M146" s="59" t="s">
        <v>708</v>
      </c>
      <c r="N146" s="5" t="s">
        <v>74</v>
      </c>
      <c r="O146" s="23">
        <f t="shared" si="82"/>
        <v>0</v>
      </c>
      <c r="P146" s="23">
        <f t="shared" si="78"/>
        <v>0.98881090428237217</v>
      </c>
      <c r="Q146" s="23">
        <f t="shared" si="79"/>
        <v>1.1189095717627915E-2</v>
      </c>
    </row>
    <row r="147" spans="2:19" ht="16.5" x14ac:dyDescent="0.45">
      <c r="B147" s="59" t="s">
        <v>710</v>
      </c>
      <c r="C147" s="5" t="s">
        <v>711</v>
      </c>
      <c r="D147" s="8">
        <f t="shared" si="80"/>
        <v>0.65238999999999991</v>
      </c>
      <c r="E147" s="208">
        <v>0</v>
      </c>
      <c r="F147" s="208">
        <f t="shared" si="81"/>
        <v>0.62998999999999994</v>
      </c>
      <c r="G147" s="208">
        <v>2.24E-2</v>
      </c>
      <c r="M147" s="59" t="s">
        <v>710</v>
      </c>
      <c r="N147" s="5" t="s">
        <v>74</v>
      </c>
      <c r="O147" s="23">
        <f t="shared" si="82"/>
        <v>0</v>
      </c>
      <c r="P147" s="23">
        <f t="shared" si="78"/>
        <v>0.9656647097594997</v>
      </c>
      <c r="Q147" s="23">
        <f t="shared" si="79"/>
        <v>3.4335290240500319E-2</v>
      </c>
    </row>
    <row r="148" spans="2:19" x14ac:dyDescent="0.35">
      <c r="B148" s="59" t="s">
        <v>712</v>
      </c>
      <c r="C148" s="5" t="s">
        <v>713</v>
      </c>
      <c r="D148" s="8">
        <f t="shared" si="80"/>
        <v>0.98176999999999992</v>
      </c>
      <c r="E148" s="208">
        <v>0</v>
      </c>
      <c r="F148" s="208">
        <f t="shared" si="81"/>
        <v>0.96616999999999997</v>
      </c>
      <c r="G148" s="208">
        <v>1.5599999999999999E-2</v>
      </c>
      <c r="M148" s="59" t="s">
        <v>712</v>
      </c>
      <c r="N148" s="5" t="s">
        <v>74</v>
      </c>
      <c r="O148" s="23">
        <f t="shared" si="82"/>
        <v>0</v>
      </c>
      <c r="P148" s="23">
        <f t="shared" si="78"/>
        <v>0.98411033134033432</v>
      </c>
      <c r="Q148" s="23">
        <f t="shared" si="79"/>
        <v>1.5889668659665707E-2</v>
      </c>
    </row>
    <row r="149" spans="2:19" ht="16.5" x14ac:dyDescent="0.45">
      <c r="B149" s="59" t="s">
        <v>714</v>
      </c>
      <c r="C149" s="5" t="s">
        <v>711</v>
      </c>
      <c r="D149" s="8">
        <f t="shared" si="80"/>
        <v>0.21873399999999998</v>
      </c>
      <c r="E149" s="208">
        <v>0</v>
      </c>
      <c r="F149" s="208">
        <f t="shared" si="81"/>
        <v>0.21105399999999999</v>
      </c>
      <c r="G149" s="208">
        <v>7.6800000000000002E-3</v>
      </c>
      <c r="M149" s="59" t="s">
        <v>714</v>
      </c>
      <c r="N149" s="5" t="s">
        <v>74</v>
      </c>
      <c r="O149" s="23">
        <f t="shared" si="82"/>
        <v>0</v>
      </c>
      <c r="P149" s="23">
        <f t="shared" si="78"/>
        <v>0.96488886044236377</v>
      </c>
      <c r="Q149" s="23">
        <f t="shared" si="79"/>
        <v>3.5111139557636221E-2</v>
      </c>
    </row>
    <row r="150" spans="2:19" ht="16.5" x14ac:dyDescent="0.45">
      <c r="B150" s="59" t="s">
        <v>715</v>
      </c>
      <c r="C150" s="5" t="s">
        <v>716</v>
      </c>
      <c r="D150" s="8">
        <f t="shared" si="80"/>
        <v>1.0746599999999997E-2</v>
      </c>
      <c r="E150" s="208">
        <v>0</v>
      </c>
      <c r="F150" s="208">
        <f t="shared" si="81"/>
        <v>1.0601599999999997E-2</v>
      </c>
      <c r="G150" s="208">
        <v>1.45E-4</v>
      </c>
      <c r="M150" s="59" t="s">
        <v>715</v>
      </c>
      <c r="N150" s="5" t="s">
        <v>74</v>
      </c>
      <c r="O150" s="23">
        <f t="shared" si="82"/>
        <v>0</v>
      </c>
      <c r="P150" s="23">
        <f t="shared" si="78"/>
        <v>0.98650736046749676</v>
      </c>
      <c r="Q150" s="23">
        <f t="shared" si="79"/>
        <v>1.3492639532503308E-2</v>
      </c>
    </row>
    <row r="151" spans="2:19" ht="16.5" x14ac:dyDescent="0.45">
      <c r="B151" s="209" t="s">
        <v>717</v>
      </c>
      <c r="C151" s="210" t="s">
        <v>671</v>
      </c>
      <c r="D151" s="211">
        <f t="shared" si="80"/>
        <v>47.646700000000003</v>
      </c>
      <c r="E151" s="213">
        <v>0</v>
      </c>
      <c r="F151" s="213">
        <f t="shared" si="81"/>
        <v>46.526700000000005</v>
      </c>
      <c r="G151" s="213">
        <v>1.1200000000000001</v>
      </c>
      <c r="M151" s="209" t="s">
        <v>717</v>
      </c>
      <c r="N151" s="210" t="s">
        <v>74</v>
      </c>
      <c r="O151" s="217">
        <f t="shared" si="82"/>
        <v>0</v>
      </c>
      <c r="P151" s="217">
        <f t="shared" si="78"/>
        <v>0.97649365013736533</v>
      </c>
      <c r="Q151" s="217">
        <f t="shared" si="79"/>
        <v>2.3506349862634768E-2</v>
      </c>
    </row>
    <row r="152" spans="2:19" x14ac:dyDescent="0.35">
      <c r="B152" s="59" t="s">
        <v>718</v>
      </c>
      <c r="C152" s="5" t="s">
        <v>673</v>
      </c>
      <c r="D152" s="8">
        <f t="shared" si="80"/>
        <v>809.26699999999983</v>
      </c>
      <c r="E152" s="208">
        <v>0</v>
      </c>
      <c r="F152" s="208">
        <f t="shared" si="81"/>
        <v>786.46699999999987</v>
      </c>
      <c r="G152" s="208">
        <v>22.8</v>
      </c>
      <c r="M152" s="59" t="s">
        <v>718</v>
      </c>
      <c r="N152" s="5" t="s">
        <v>74</v>
      </c>
      <c r="O152" s="23">
        <f t="shared" si="82"/>
        <v>0</v>
      </c>
      <c r="P152" s="23">
        <f t="shared" si="78"/>
        <v>0.97182635644354709</v>
      </c>
      <c r="Q152" s="23">
        <f t="shared" si="79"/>
        <v>2.8173643556452944E-2</v>
      </c>
    </row>
    <row r="153" spans="2:19" x14ac:dyDescent="0.35">
      <c r="B153" s="59" t="s">
        <v>719</v>
      </c>
      <c r="C153" s="5" t="s">
        <v>720</v>
      </c>
      <c r="D153" s="8">
        <f t="shared" si="80"/>
        <v>2.5690400000000002</v>
      </c>
      <c r="E153" s="208">
        <v>0</v>
      </c>
      <c r="F153" s="208">
        <f t="shared" si="81"/>
        <v>2.5563400000000001</v>
      </c>
      <c r="G153" s="208">
        <v>1.2699999999999999E-2</v>
      </c>
      <c r="M153" s="59" t="s">
        <v>719</v>
      </c>
      <c r="N153" s="5" t="s">
        <v>74</v>
      </c>
      <c r="O153" s="23">
        <f t="shared" si="82"/>
        <v>0</v>
      </c>
      <c r="P153" s="23">
        <f t="shared" si="78"/>
        <v>0.99505651916669258</v>
      </c>
      <c r="Q153" s="23">
        <f t="shared" si="79"/>
        <v>4.9434808333073824E-3</v>
      </c>
    </row>
    <row r="155" spans="2:19" ht="16.5" x14ac:dyDescent="0.45">
      <c r="B155" s="315" t="s">
        <v>674</v>
      </c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</row>
    <row r="157" spans="2:19" ht="29" x14ac:dyDescent="0.35">
      <c r="B157" s="207" t="s">
        <v>660</v>
      </c>
      <c r="C157" s="207" t="s">
        <v>477</v>
      </c>
      <c r="D157" s="207" t="s">
        <v>15</v>
      </c>
      <c r="E157" s="207" t="s">
        <v>675</v>
      </c>
      <c r="F157" s="207" t="s">
        <v>676</v>
      </c>
      <c r="G157" s="207" t="s">
        <v>665</v>
      </c>
      <c r="H157" s="207" t="s">
        <v>443</v>
      </c>
      <c r="M157" s="207" t="s">
        <v>660</v>
      </c>
      <c r="N157" s="207" t="s">
        <v>477</v>
      </c>
      <c r="O157" s="207" t="s">
        <v>675</v>
      </c>
      <c r="P157" s="207" t="s">
        <v>676</v>
      </c>
      <c r="Q157" s="207" t="s">
        <v>665</v>
      </c>
      <c r="R157" s="207" t="s">
        <v>443</v>
      </c>
    </row>
    <row r="158" spans="2:19" ht="16.5" x14ac:dyDescent="0.45">
      <c r="B158" s="59" t="s">
        <v>695</v>
      </c>
      <c r="C158" s="5" t="s">
        <v>696</v>
      </c>
      <c r="D158" s="8">
        <f>SUM(E158:H158)</f>
        <v>0.81769999999999998</v>
      </c>
      <c r="E158" s="208">
        <v>0</v>
      </c>
      <c r="F158" s="208">
        <f>D177</f>
        <v>0.80289999999999995</v>
      </c>
      <c r="G158" s="208">
        <v>1.6199999999999999E-2</v>
      </c>
      <c r="H158" s="208">
        <v>-1.4E-3</v>
      </c>
      <c r="M158" s="59" t="s">
        <v>695</v>
      </c>
      <c r="N158" s="5" t="s">
        <v>74</v>
      </c>
      <c r="O158" s="23">
        <f>E158/$D158</f>
        <v>0</v>
      </c>
      <c r="P158" s="23">
        <f t="shared" ref="P158:P172" si="83">F158/$D158</f>
        <v>0.98190045248868774</v>
      </c>
      <c r="Q158" s="23">
        <f t="shared" ref="Q158:Q172" si="84">G158/$D158</f>
        <v>1.9811666870490401E-2</v>
      </c>
      <c r="R158" s="23">
        <f t="shared" ref="R158:R172" si="85">H158/$D158</f>
        <v>-1.7121193591781826E-3</v>
      </c>
    </row>
    <row r="159" spans="2:19" ht="16.5" x14ac:dyDescent="0.45">
      <c r="B159" s="59" t="s">
        <v>697</v>
      </c>
      <c r="C159" s="5" t="s">
        <v>696</v>
      </c>
      <c r="D159" s="8">
        <f t="shared" ref="D159:D172" si="86">SUM(E159:H159)</f>
        <v>0.69729000000000008</v>
      </c>
      <c r="E159" s="208">
        <v>0</v>
      </c>
      <c r="F159" s="208">
        <f t="shared" ref="F159:F172" si="87">D178</f>
        <v>0.69300000000000006</v>
      </c>
      <c r="G159" s="208">
        <v>6.13E-3</v>
      </c>
      <c r="H159" s="208">
        <v>-1.8400000000000001E-3</v>
      </c>
      <c r="M159" s="59" t="s">
        <v>697</v>
      </c>
      <c r="N159" s="5" t="s">
        <v>74</v>
      </c>
      <c r="O159" s="23">
        <f t="shared" ref="O159:O172" si="88">E159/$D159</f>
        <v>0</v>
      </c>
      <c r="P159" s="23">
        <f t="shared" si="83"/>
        <v>0.99384761003312827</v>
      </c>
      <c r="Q159" s="23">
        <f t="shared" si="84"/>
        <v>8.7911772720102102E-3</v>
      </c>
      <c r="R159" s="23">
        <f t="shared" si="85"/>
        <v>-2.6387873051384645E-3</v>
      </c>
    </row>
    <row r="160" spans="2:19" x14ac:dyDescent="0.35">
      <c r="B160" s="59" t="s">
        <v>698</v>
      </c>
      <c r="C160" s="5" t="s">
        <v>699</v>
      </c>
      <c r="D160" s="8">
        <f t="shared" si="86"/>
        <v>4.3538700000000007E-2</v>
      </c>
      <c r="E160" s="208">
        <v>0</v>
      </c>
      <c r="F160" s="208">
        <f t="shared" si="87"/>
        <v>4.2235000000000002E-2</v>
      </c>
      <c r="G160" s="208">
        <v>1.3699999999999999E-3</v>
      </c>
      <c r="H160" s="208">
        <v>-6.6299999999999999E-5</v>
      </c>
      <c r="M160" s="59" t="s">
        <v>698</v>
      </c>
      <c r="N160" s="5" t="s">
        <v>74</v>
      </c>
      <c r="O160" s="23">
        <f t="shared" si="88"/>
        <v>0</v>
      </c>
      <c r="P160" s="23">
        <f t="shared" si="83"/>
        <v>0.97005652442539614</v>
      </c>
      <c r="Q160" s="23">
        <f t="shared" si="84"/>
        <v>3.1466258753706469E-2</v>
      </c>
      <c r="R160" s="23">
        <f t="shared" si="85"/>
        <v>-1.522783179102729E-3</v>
      </c>
    </row>
    <row r="161" spans="2:20" x14ac:dyDescent="0.35">
      <c r="B161" s="59" t="s">
        <v>700</v>
      </c>
      <c r="C161" s="5" t="s">
        <v>701</v>
      </c>
      <c r="D161" s="8">
        <f t="shared" si="86"/>
        <v>1188</v>
      </c>
      <c r="E161" s="208">
        <v>0</v>
      </c>
      <c r="F161" s="208">
        <f t="shared" si="87"/>
        <v>1141.1099999999999</v>
      </c>
      <c r="G161" s="208">
        <v>48.9</v>
      </c>
      <c r="H161" s="208">
        <v>-2.0099999999999998</v>
      </c>
      <c r="M161" s="59" t="s">
        <v>700</v>
      </c>
      <c r="N161" s="5" t="s">
        <v>74</v>
      </c>
      <c r="O161" s="23">
        <f t="shared" si="88"/>
        <v>0</v>
      </c>
      <c r="P161" s="23">
        <f t="shared" si="83"/>
        <v>0.96053030303030296</v>
      </c>
      <c r="Q161" s="23">
        <f t="shared" si="84"/>
        <v>4.1161616161616163E-2</v>
      </c>
      <c r="R161" s="23">
        <f t="shared" si="85"/>
        <v>-1.6919191919191918E-3</v>
      </c>
    </row>
    <row r="162" spans="2:20" x14ac:dyDescent="0.35">
      <c r="B162" s="59" t="s">
        <v>702</v>
      </c>
      <c r="C162" s="5" t="s">
        <v>703</v>
      </c>
      <c r="D162" s="8">
        <f t="shared" si="86"/>
        <v>5.6289700000000003E-6</v>
      </c>
      <c r="E162" s="208">
        <v>0</v>
      </c>
      <c r="F162" s="208">
        <f t="shared" si="87"/>
        <v>5.4890999999999997E-6</v>
      </c>
      <c r="G162" s="208">
        <v>1.4499999999999999E-7</v>
      </c>
      <c r="H162" s="208">
        <v>-5.1300000000000003E-9</v>
      </c>
      <c r="M162" s="59" t="s">
        <v>702</v>
      </c>
      <c r="N162" s="5" t="s">
        <v>74</v>
      </c>
      <c r="O162" s="23">
        <f t="shared" si="88"/>
        <v>0</v>
      </c>
      <c r="P162" s="23">
        <f t="shared" si="83"/>
        <v>0.97515175955814282</v>
      </c>
      <c r="Q162" s="23">
        <f t="shared" si="84"/>
        <v>2.5759597226490811E-2</v>
      </c>
      <c r="R162" s="23">
        <f t="shared" si="85"/>
        <v>-9.1135678463377852E-4</v>
      </c>
    </row>
    <row r="163" spans="2:20" ht="16.5" x14ac:dyDescent="0.45">
      <c r="B163" s="59" t="s">
        <v>704</v>
      </c>
      <c r="C163" s="5" t="s">
        <v>705</v>
      </c>
      <c r="D163" s="8">
        <f t="shared" si="86"/>
        <v>1.0940699999999999E-2</v>
      </c>
      <c r="E163" s="208">
        <v>0</v>
      </c>
      <c r="F163" s="208">
        <f t="shared" si="87"/>
        <v>1.0839E-2</v>
      </c>
      <c r="G163" s="208">
        <v>1.25E-4</v>
      </c>
      <c r="H163" s="208">
        <v>-2.3300000000000001E-5</v>
      </c>
      <c r="M163" s="59" t="s">
        <v>704</v>
      </c>
      <c r="N163" s="5" t="s">
        <v>74</v>
      </c>
      <c r="O163" s="23">
        <f t="shared" si="88"/>
        <v>0</v>
      </c>
      <c r="P163" s="23">
        <f t="shared" si="83"/>
        <v>0.99070443390276675</v>
      </c>
      <c r="Q163" s="23">
        <f t="shared" si="84"/>
        <v>1.1425228733079237E-2</v>
      </c>
      <c r="R163" s="23">
        <f t="shared" si="85"/>
        <v>-2.1296626358459697E-3</v>
      </c>
    </row>
    <row r="164" spans="2:20" x14ac:dyDescent="0.35">
      <c r="B164" s="59" t="s">
        <v>706</v>
      </c>
      <c r="C164" s="5" t="s">
        <v>707</v>
      </c>
      <c r="D164" s="8">
        <f t="shared" si="86"/>
        <v>2948.23</v>
      </c>
      <c r="E164" s="208">
        <v>0</v>
      </c>
      <c r="F164" s="208">
        <f t="shared" si="87"/>
        <v>2898.9</v>
      </c>
      <c r="G164" s="208">
        <v>56.9</v>
      </c>
      <c r="H164" s="208">
        <v>-7.57</v>
      </c>
      <c r="M164" s="59" t="s">
        <v>706</v>
      </c>
      <c r="N164" s="5" t="s">
        <v>74</v>
      </c>
      <c r="O164" s="23">
        <f t="shared" si="88"/>
        <v>0</v>
      </c>
      <c r="P164" s="23">
        <f t="shared" si="83"/>
        <v>0.98326792685780962</v>
      </c>
      <c r="Q164" s="23">
        <f t="shared" si="84"/>
        <v>1.9299715422473822E-2</v>
      </c>
      <c r="R164" s="23">
        <f t="shared" si="85"/>
        <v>-2.5676422802834243E-3</v>
      </c>
    </row>
    <row r="165" spans="2:20" x14ac:dyDescent="0.35">
      <c r="B165" s="59" t="s">
        <v>708</v>
      </c>
      <c r="C165" s="5" t="s">
        <v>709</v>
      </c>
      <c r="D165" s="8">
        <f t="shared" si="86"/>
        <v>1263.7299999999998</v>
      </c>
      <c r="E165" s="208">
        <v>0</v>
      </c>
      <c r="F165" s="208">
        <f t="shared" si="87"/>
        <v>1252.8</v>
      </c>
      <c r="G165" s="208">
        <v>13.6</v>
      </c>
      <c r="H165" s="208">
        <v>-2.67</v>
      </c>
      <c r="M165" s="59" t="s">
        <v>708</v>
      </c>
      <c r="N165" s="5" t="s">
        <v>74</v>
      </c>
      <c r="O165" s="23">
        <f t="shared" si="88"/>
        <v>0</v>
      </c>
      <c r="P165" s="23">
        <f t="shared" si="83"/>
        <v>0.99135100060930748</v>
      </c>
      <c r="Q165" s="23">
        <f t="shared" si="84"/>
        <v>1.0761792471493122E-2</v>
      </c>
      <c r="R165" s="23">
        <f t="shared" si="85"/>
        <v>-2.1127930808004878E-3</v>
      </c>
    </row>
    <row r="166" spans="2:20" ht="16.5" x14ac:dyDescent="0.45">
      <c r="B166" s="59" t="s">
        <v>710</v>
      </c>
      <c r="C166" s="5" t="s">
        <v>711</v>
      </c>
      <c r="D166" s="8">
        <f t="shared" si="86"/>
        <v>0.62998999999999994</v>
      </c>
      <c r="E166" s="208">
        <v>0</v>
      </c>
      <c r="F166" s="208">
        <f t="shared" si="87"/>
        <v>0.60980000000000001</v>
      </c>
      <c r="G166" s="208">
        <v>2.1399999999999999E-2</v>
      </c>
      <c r="H166" s="208">
        <v>-1.2099999999999999E-3</v>
      </c>
      <c r="M166" s="59" t="s">
        <v>710</v>
      </c>
      <c r="N166" s="5" t="s">
        <v>74</v>
      </c>
      <c r="O166" s="23">
        <f t="shared" si="88"/>
        <v>0</v>
      </c>
      <c r="P166" s="23">
        <f t="shared" si="83"/>
        <v>0.96795187225194057</v>
      </c>
      <c r="Q166" s="23">
        <f t="shared" si="84"/>
        <v>3.3968793155446916E-2</v>
      </c>
      <c r="R166" s="23">
        <f t="shared" si="85"/>
        <v>-1.9206654073874189E-3</v>
      </c>
    </row>
    <row r="167" spans="2:20" x14ac:dyDescent="0.35">
      <c r="B167" s="59" t="s">
        <v>712</v>
      </c>
      <c r="C167" s="5" t="s">
        <v>713</v>
      </c>
      <c r="D167" s="8">
        <f t="shared" si="86"/>
        <v>0.96616999999999997</v>
      </c>
      <c r="E167" s="208">
        <v>0</v>
      </c>
      <c r="F167" s="208">
        <f t="shared" si="87"/>
        <v>0.96216999999999997</v>
      </c>
      <c r="G167" s="208">
        <v>1.49E-2</v>
      </c>
      <c r="H167" s="208">
        <v>-1.09E-2</v>
      </c>
      <c r="M167" s="59" t="s">
        <v>712</v>
      </c>
      <c r="N167" s="5" t="s">
        <v>74</v>
      </c>
      <c r="O167" s="23">
        <f t="shared" si="88"/>
        <v>0</v>
      </c>
      <c r="P167" s="23">
        <f t="shared" si="83"/>
        <v>0.99585994183218274</v>
      </c>
      <c r="Q167" s="23">
        <f t="shared" si="84"/>
        <v>1.5421716675119285E-2</v>
      </c>
      <c r="R167" s="23">
        <f t="shared" si="85"/>
        <v>-1.1281658507302028E-2</v>
      </c>
    </row>
    <row r="168" spans="2:20" ht="16.5" x14ac:dyDescent="0.45">
      <c r="B168" s="59" t="s">
        <v>714</v>
      </c>
      <c r="C168" s="5" t="s">
        <v>711</v>
      </c>
      <c r="D168" s="8">
        <f t="shared" si="86"/>
        <v>0.21105399999999999</v>
      </c>
      <c r="E168" s="208">
        <v>0</v>
      </c>
      <c r="F168" s="208">
        <f t="shared" si="87"/>
        <v>0.20397999999999999</v>
      </c>
      <c r="G168" s="208">
        <v>7.3299999999999997E-3</v>
      </c>
      <c r="H168" s="208">
        <v>-2.5599999999999999E-4</v>
      </c>
      <c r="M168" s="59" t="s">
        <v>714</v>
      </c>
      <c r="N168" s="5" t="s">
        <v>74</v>
      </c>
      <c r="O168" s="23">
        <f t="shared" si="88"/>
        <v>0</v>
      </c>
      <c r="P168" s="23">
        <f t="shared" si="83"/>
        <v>0.96648251158471288</v>
      </c>
      <c r="Q168" s="23">
        <f t="shared" si="84"/>
        <v>3.4730448131757748E-2</v>
      </c>
      <c r="R168" s="23">
        <f t="shared" si="85"/>
        <v>-1.2129597164706662E-3</v>
      </c>
    </row>
    <row r="169" spans="2:20" ht="16.5" x14ac:dyDescent="0.45">
      <c r="B169" s="59" t="s">
        <v>715</v>
      </c>
      <c r="C169" s="5" t="s">
        <v>716</v>
      </c>
      <c r="D169" s="8">
        <f t="shared" si="86"/>
        <v>1.0601599999999997E-2</v>
      </c>
      <c r="E169" s="208">
        <v>0</v>
      </c>
      <c r="F169" s="208">
        <f t="shared" si="87"/>
        <v>1.0482399999999998E-2</v>
      </c>
      <c r="G169" s="208">
        <v>1.3799999999999999E-4</v>
      </c>
      <c r="H169" s="208">
        <v>-1.88E-5</v>
      </c>
      <c r="M169" s="59" t="s">
        <v>715</v>
      </c>
      <c r="N169" s="5" t="s">
        <v>74</v>
      </c>
      <c r="O169" s="23">
        <f t="shared" si="88"/>
        <v>0</v>
      </c>
      <c r="P169" s="23">
        <f t="shared" si="83"/>
        <v>0.98875641412616966</v>
      </c>
      <c r="Q169" s="23">
        <f t="shared" si="84"/>
        <v>1.3016903108964688E-2</v>
      </c>
      <c r="R169" s="23">
        <f t="shared" si="85"/>
        <v>-1.7733172351343197E-3</v>
      </c>
    </row>
    <row r="170" spans="2:20" ht="16.5" x14ac:dyDescent="0.45">
      <c r="B170" s="209" t="s">
        <v>717</v>
      </c>
      <c r="C170" s="210" t="s">
        <v>671</v>
      </c>
      <c r="D170" s="211">
        <f t="shared" si="86"/>
        <v>46.526700000000005</v>
      </c>
      <c r="E170" s="213">
        <v>0</v>
      </c>
      <c r="F170" s="213">
        <f t="shared" si="87"/>
        <v>45.514000000000003</v>
      </c>
      <c r="G170" s="213">
        <v>1.07</v>
      </c>
      <c r="H170" s="213">
        <v>-5.7299999999999997E-2</v>
      </c>
      <c r="M170" s="209" t="s">
        <v>717</v>
      </c>
      <c r="N170" s="210" t="s">
        <v>74</v>
      </c>
      <c r="O170" s="217">
        <f t="shared" si="88"/>
        <v>0</v>
      </c>
      <c r="P170" s="217">
        <f t="shared" si="83"/>
        <v>0.97823400327123988</v>
      </c>
      <c r="Q170" s="217">
        <f t="shared" si="84"/>
        <v>2.2997547644685739E-2</v>
      </c>
      <c r="R170" s="217">
        <f t="shared" si="85"/>
        <v>-1.2315509159256941E-3</v>
      </c>
    </row>
    <row r="171" spans="2:20" x14ac:dyDescent="0.35">
      <c r="B171" s="59" t="s">
        <v>718</v>
      </c>
      <c r="C171" s="5" t="s">
        <v>673</v>
      </c>
      <c r="D171" s="8">
        <f t="shared" si="86"/>
        <v>786.46699999999987</v>
      </c>
      <c r="E171" s="208">
        <v>0</v>
      </c>
      <c r="F171" s="208">
        <f t="shared" si="87"/>
        <v>765.31</v>
      </c>
      <c r="G171" s="208">
        <v>21.8</v>
      </c>
      <c r="H171" s="208">
        <v>-0.64300000000000002</v>
      </c>
      <c r="M171" s="59" t="s">
        <v>718</v>
      </c>
      <c r="N171" s="5" t="s">
        <v>74</v>
      </c>
      <c r="O171" s="23">
        <f t="shared" si="88"/>
        <v>0</v>
      </c>
      <c r="P171" s="23">
        <f t="shared" si="83"/>
        <v>0.97309868055493753</v>
      </c>
      <c r="Q171" s="23">
        <f t="shared" si="84"/>
        <v>2.7718899839408399E-2</v>
      </c>
      <c r="R171" s="23">
        <f t="shared" si="85"/>
        <v>-8.1758039434585322E-4</v>
      </c>
    </row>
    <row r="172" spans="2:20" x14ac:dyDescent="0.35">
      <c r="B172" s="59" t="s">
        <v>719</v>
      </c>
      <c r="C172" s="5" t="s">
        <v>720</v>
      </c>
      <c r="D172" s="8">
        <f t="shared" si="86"/>
        <v>2.5563400000000001</v>
      </c>
      <c r="E172" s="208">
        <v>0</v>
      </c>
      <c r="F172" s="208">
        <f t="shared" si="87"/>
        <v>2.5527000000000002</v>
      </c>
      <c r="G172" s="208">
        <v>1.2200000000000001E-2</v>
      </c>
      <c r="H172" s="208">
        <v>-8.5599999999999999E-3</v>
      </c>
      <c r="M172" s="59" t="s">
        <v>719</v>
      </c>
      <c r="N172" s="5" t="s">
        <v>74</v>
      </c>
      <c r="O172" s="23">
        <f t="shared" si="88"/>
        <v>0</v>
      </c>
      <c r="P172" s="23">
        <f t="shared" si="83"/>
        <v>0.99857608925260344</v>
      </c>
      <c r="Q172" s="23">
        <f t="shared" si="84"/>
        <v>4.7724481094064174E-3</v>
      </c>
      <c r="R172" s="23">
        <f t="shared" si="85"/>
        <v>-3.3485373620097481E-3</v>
      </c>
    </row>
    <row r="174" spans="2:20" ht="16.5" x14ac:dyDescent="0.45">
      <c r="B174" s="315" t="s">
        <v>659</v>
      </c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</row>
    <row r="176" spans="2:20" ht="29" x14ac:dyDescent="0.35">
      <c r="B176" s="207" t="s">
        <v>660</v>
      </c>
      <c r="C176" s="207" t="s">
        <v>477</v>
      </c>
      <c r="D176" s="207" t="s">
        <v>15</v>
      </c>
      <c r="E176" s="207" t="s">
        <v>661</v>
      </c>
      <c r="F176" s="207" t="s">
        <v>662</v>
      </c>
      <c r="G176" s="207" t="s">
        <v>663</v>
      </c>
      <c r="H176" s="207" t="s">
        <v>284</v>
      </c>
      <c r="I176" s="207" t="s">
        <v>664</v>
      </c>
      <c r="J176" s="207" t="s">
        <v>665</v>
      </c>
      <c r="M176" s="207" t="s">
        <v>660</v>
      </c>
      <c r="N176" s="207" t="s">
        <v>477</v>
      </c>
      <c r="O176" s="207" t="s">
        <v>661</v>
      </c>
      <c r="P176" s="207" t="s">
        <v>662</v>
      </c>
      <c r="Q176" s="207" t="s">
        <v>663</v>
      </c>
      <c r="R176" s="207" t="s">
        <v>284</v>
      </c>
      <c r="S176" s="207" t="s">
        <v>664</v>
      </c>
      <c r="T176" s="207" t="s">
        <v>665</v>
      </c>
    </row>
    <row r="177" spans="2:20" ht="16.5" x14ac:dyDescent="0.45">
      <c r="B177" s="59" t="s">
        <v>695</v>
      </c>
      <c r="C177" s="5" t="s">
        <v>696</v>
      </c>
      <c r="D177" s="8">
        <f>SUM(E177:J177)</f>
        <v>0.80289999999999995</v>
      </c>
      <c r="E177" s="208">
        <v>0</v>
      </c>
      <c r="F177" s="208">
        <v>8.5599999999999996E-2</v>
      </c>
      <c r="G177" s="208">
        <v>0.27200000000000002</v>
      </c>
      <c r="H177" s="208">
        <v>0.246</v>
      </c>
      <c r="I177" s="208">
        <v>2.3300000000000001E-2</v>
      </c>
      <c r="J177" s="208">
        <v>0.17599999999999999</v>
      </c>
      <c r="M177" s="59" t="s">
        <v>695</v>
      </c>
      <c r="N177" s="5" t="s">
        <v>74</v>
      </c>
      <c r="O177" s="23">
        <f>E177/$D177</f>
        <v>0</v>
      </c>
      <c r="P177" s="23">
        <f t="shared" ref="P177:P191" si="89">F177/$D177</f>
        <v>0.10661352596836468</v>
      </c>
      <c r="Q177" s="23">
        <f t="shared" ref="Q177:Q191" si="90">G177/$D177</f>
        <v>0.33877195167517754</v>
      </c>
      <c r="R177" s="23">
        <f t="shared" ref="R177:R191" si="91">H177/$D177</f>
        <v>0.3063893386474032</v>
      </c>
      <c r="S177" s="23">
        <f t="shared" ref="S177:S191" si="92">I177/$D177</f>
        <v>2.9019803213351604E-2</v>
      </c>
      <c r="T177" s="23">
        <f t="shared" ref="T177:T191" si="93">J177/$D177</f>
        <v>0.21920538049570307</v>
      </c>
    </row>
    <row r="178" spans="2:20" ht="16.5" x14ac:dyDescent="0.45">
      <c r="B178" s="59" t="s">
        <v>697</v>
      </c>
      <c r="C178" s="5" t="s">
        <v>696</v>
      </c>
      <c r="D178" s="8">
        <f t="shared" ref="D178:D191" si="94">SUM(E178:J178)</f>
        <v>0.69300000000000006</v>
      </c>
      <c r="E178" s="208">
        <v>0</v>
      </c>
      <c r="F178" s="208">
        <v>0.186</v>
      </c>
      <c r="G178" s="208">
        <v>0.24199999999999999</v>
      </c>
      <c r="H178" s="208">
        <v>0.12</v>
      </c>
      <c r="I178" s="208">
        <v>7.8600000000000003E-2</v>
      </c>
      <c r="J178" s="208">
        <v>6.6400000000000001E-2</v>
      </c>
      <c r="M178" s="59" t="s">
        <v>697</v>
      </c>
      <c r="N178" s="5" t="s">
        <v>74</v>
      </c>
      <c r="O178" s="23">
        <f t="shared" ref="O178:O191" si="95">E178/$D178</f>
        <v>0</v>
      </c>
      <c r="P178" s="23">
        <f t="shared" si="89"/>
        <v>0.26839826839826836</v>
      </c>
      <c r="Q178" s="23">
        <f t="shared" si="90"/>
        <v>0.34920634920634919</v>
      </c>
      <c r="R178" s="23">
        <f t="shared" si="91"/>
        <v>0.17316017316017313</v>
      </c>
      <c r="S178" s="23">
        <f t="shared" si="92"/>
        <v>0.11341991341991342</v>
      </c>
      <c r="T178" s="23">
        <f t="shared" si="93"/>
        <v>9.5815295815295812E-2</v>
      </c>
    </row>
    <row r="179" spans="2:20" x14ac:dyDescent="0.35">
      <c r="B179" s="59" t="s">
        <v>698</v>
      </c>
      <c r="C179" s="5" t="s">
        <v>699</v>
      </c>
      <c r="D179" s="8">
        <f t="shared" si="94"/>
        <v>4.2235000000000002E-2</v>
      </c>
      <c r="E179" s="208">
        <v>0</v>
      </c>
      <c r="F179" s="208">
        <v>6.9899999999999997E-3</v>
      </c>
      <c r="G179" s="208">
        <v>1.4500000000000001E-2</v>
      </c>
      <c r="H179" s="208">
        <v>4.96E-3</v>
      </c>
      <c r="I179" s="208">
        <v>9.8499999999999998E-4</v>
      </c>
      <c r="J179" s="208">
        <v>1.4800000000000001E-2</v>
      </c>
      <c r="M179" s="59" t="s">
        <v>698</v>
      </c>
      <c r="N179" s="5" t="s">
        <v>74</v>
      </c>
      <c r="O179" s="23">
        <f t="shared" si="95"/>
        <v>0</v>
      </c>
      <c r="P179" s="23">
        <f t="shared" si="89"/>
        <v>0.16550254528234876</v>
      </c>
      <c r="Q179" s="23">
        <f t="shared" si="90"/>
        <v>0.34331715401917839</v>
      </c>
      <c r="R179" s="23">
        <f t="shared" si="91"/>
        <v>0.11743814371966378</v>
      </c>
      <c r="S179" s="23">
        <f t="shared" si="92"/>
        <v>2.332188942819936E-2</v>
      </c>
      <c r="T179" s="23">
        <f t="shared" si="93"/>
        <v>0.35042026755060968</v>
      </c>
    </row>
    <row r="180" spans="2:20" x14ac:dyDescent="0.35">
      <c r="B180" s="59" t="s">
        <v>700</v>
      </c>
      <c r="C180" s="5" t="s">
        <v>701</v>
      </c>
      <c r="D180" s="8">
        <f t="shared" si="94"/>
        <v>1141.1099999999999</v>
      </c>
      <c r="E180" s="208">
        <v>0</v>
      </c>
      <c r="F180" s="208">
        <v>79.3</v>
      </c>
      <c r="G180" s="208">
        <v>389</v>
      </c>
      <c r="H180" s="208">
        <v>137</v>
      </c>
      <c r="I180" s="208">
        <v>5.81</v>
      </c>
      <c r="J180" s="208">
        <v>530</v>
      </c>
      <c r="M180" s="59" t="s">
        <v>700</v>
      </c>
      <c r="N180" s="5" t="s">
        <v>74</v>
      </c>
      <c r="O180" s="23">
        <f t="shared" si="95"/>
        <v>0</v>
      </c>
      <c r="P180" s="23">
        <f t="shared" si="89"/>
        <v>6.9493738552812614E-2</v>
      </c>
      <c r="Q180" s="23">
        <f t="shared" si="90"/>
        <v>0.34089614498164073</v>
      </c>
      <c r="R180" s="23">
        <f t="shared" si="91"/>
        <v>0.12005853949224879</v>
      </c>
      <c r="S180" s="23">
        <f t="shared" si="92"/>
        <v>5.0915336821165356E-3</v>
      </c>
      <c r="T180" s="23">
        <f t="shared" si="93"/>
        <v>0.46446004329118146</v>
      </c>
    </row>
    <row r="181" spans="2:20" x14ac:dyDescent="0.35">
      <c r="B181" s="59" t="s">
        <v>702</v>
      </c>
      <c r="C181" s="5" t="s">
        <v>703</v>
      </c>
      <c r="D181" s="8">
        <f t="shared" si="94"/>
        <v>5.4890999999999997E-6</v>
      </c>
      <c r="E181" s="208">
        <v>0</v>
      </c>
      <c r="F181" s="208">
        <v>1.9E-6</v>
      </c>
      <c r="G181" s="208">
        <v>1.55E-6</v>
      </c>
      <c r="H181" s="208">
        <v>4.2899999999999999E-7</v>
      </c>
      <c r="I181" s="208">
        <v>4.0100000000000002E-8</v>
      </c>
      <c r="J181" s="208">
        <v>1.57E-6</v>
      </c>
      <c r="M181" s="59" t="s">
        <v>702</v>
      </c>
      <c r="N181" s="5" t="s">
        <v>74</v>
      </c>
      <c r="O181" s="23">
        <f t="shared" si="95"/>
        <v>0</v>
      </c>
      <c r="P181" s="23">
        <f t="shared" si="89"/>
        <v>0.34614053305642095</v>
      </c>
      <c r="Q181" s="23">
        <f t="shared" si="90"/>
        <v>0.28237780328286971</v>
      </c>
      <c r="R181" s="23">
        <f t="shared" si="91"/>
        <v>7.815488877958135E-2</v>
      </c>
      <c r="S181" s="23">
        <f t="shared" si="92"/>
        <v>7.3053870397697266E-3</v>
      </c>
      <c r="T181" s="23">
        <f t="shared" si="93"/>
        <v>0.28602138784135833</v>
      </c>
    </row>
    <row r="182" spans="2:20" ht="16.5" x14ac:dyDescent="0.45">
      <c r="B182" s="59" t="s">
        <v>704</v>
      </c>
      <c r="C182" s="5" t="s">
        <v>705</v>
      </c>
      <c r="D182" s="8">
        <f t="shared" si="94"/>
        <v>1.0839E-2</v>
      </c>
      <c r="E182" s="208">
        <v>0</v>
      </c>
      <c r="F182" s="208">
        <v>4.7499999999999999E-3</v>
      </c>
      <c r="G182" s="208">
        <v>3.0000000000000001E-3</v>
      </c>
      <c r="H182" s="208">
        <v>1.57E-3</v>
      </c>
      <c r="I182" s="208">
        <v>1.5899999999999999E-4</v>
      </c>
      <c r="J182" s="208">
        <v>1.3600000000000001E-3</v>
      </c>
      <c r="M182" s="59" t="s">
        <v>704</v>
      </c>
      <c r="N182" s="5" t="s">
        <v>74</v>
      </c>
      <c r="O182" s="23">
        <f t="shared" si="95"/>
        <v>0</v>
      </c>
      <c r="P182" s="23">
        <f t="shared" si="89"/>
        <v>0.43823230925362117</v>
      </c>
      <c r="Q182" s="23">
        <f t="shared" si="90"/>
        <v>0.27677830058123443</v>
      </c>
      <c r="R182" s="23">
        <f t="shared" si="91"/>
        <v>0.14484731063751269</v>
      </c>
      <c r="S182" s="23">
        <f t="shared" si="92"/>
        <v>1.4669249930805425E-2</v>
      </c>
      <c r="T182" s="23">
        <f t="shared" si="93"/>
        <v>0.12547282959682629</v>
      </c>
    </row>
    <row r="183" spans="2:20" x14ac:dyDescent="0.35">
      <c r="B183" s="59" t="s">
        <v>706</v>
      </c>
      <c r="C183" s="5" t="s">
        <v>707</v>
      </c>
      <c r="D183" s="8">
        <f t="shared" si="94"/>
        <v>2898.9</v>
      </c>
      <c r="E183" s="208">
        <v>0</v>
      </c>
      <c r="F183" s="208">
        <v>911</v>
      </c>
      <c r="G183" s="208">
        <v>1060</v>
      </c>
      <c r="H183" s="208">
        <v>278</v>
      </c>
      <c r="I183" s="208">
        <v>33.9</v>
      </c>
      <c r="J183" s="208">
        <v>616</v>
      </c>
      <c r="M183" s="59" t="s">
        <v>706</v>
      </c>
      <c r="N183" s="5" t="s">
        <v>74</v>
      </c>
      <c r="O183" s="23">
        <f t="shared" si="95"/>
        <v>0</v>
      </c>
      <c r="P183" s="23">
        <f t="shared" si="89"/>
        <v>0.31425713201559213</v>
      </c>
      <c r="Q183" s="23">
        <f t="shared" si="90"/>
        <v>0.36565593845941563</v>
      </c>
      <c r="R183" s="23">
        <f t="shared" si="91"/>
        <v>9.5898444237469377E-2</v>
      </c>
      <c r="S183" s="23">
        <f t="shared" si="92"/>
        <v>1.1694090862051122E-2</v>
      </c>
      <c r="T183" s="23">
        <f t="shared" si="93"/>
        <v>0.21249439442547172</v>
      </c>
    </row>
    <row r="184" spans="2:20" x14ac:dyDescent="0.35">
      <c r="B184" s="59" t="s">
        <v>708</v>
      </c>
      <c r="C184" s="5" t="s">
        <v>709</v>
      </c>
      <c r="D184" s="8">
        <f t="shared" si="94"/>
        <v>1252.8</v>
      </c>
      <c r="E184" s="208">
        <v>0</v>
      </c>
      <c r="F184" s="208">
        <v>673</v>
      </c>
      <c r="G184" s="208">
        <v>336</v>
      </c>
      <c r="H184" s="208">
        <v>84.8</v>
      </c>
      <c r="I184" s="208">
        <v>12</v>
      </c>
      <c r="J184" s="208">
        <v>147</v>
      </c>
      <c r="M184" s="59" t="s">
        <v>708</v>
      </c>
      <c r="N184" s="5" t="s">
        <v>74</v>
      </c>
      <c r="O184" s="23">
        <f t="shared" si="95"/>
        <v>0</v>
      </c>
      <c r="P184" s="23">
        <f t="shared" si="89"/>
        <v>0.53719667943805882</v>
      </c>
      <c r="Q184" s="23">
        <f t="shared" si="90"/>
        <v>0.26819923371647508</v>
      </c>
      <c r="R184" s="23">
        <f t="shared" si="91"/>
        <v>6.7688378033205626E-2</v>
      </c>
      <c r="S184" s="23">
        <f t="shared" si="92"/>
        <v>9.578544061302683E-3</v>
      </c>
      <c r="T184" s="23">
        <f t="shared" si="93"/>
        <v>0.11733716475095786</v>
      </c>
    </row>
    <row r="185" spans="2:20" ht="16.5" x14ac:dyDescent="0.45">
      <c r="B185" s="59" t="s">
        <v>710</v>
      </c>
      <c r="C185" s="5" t="s">
        <v>711</v>
      </c>
      <c r="D185" s="8">
        <f t="shared" si="94"/>
        <v>0.60980000000000001</v>
      </c>
      <c r="E185" s="208">
        <v>0</v>
      </c>
      <c r="F185" s="208">
        <v>9.5000000000000001E-2</v>
      </c>
      <c r="G185" s="208">
        <v>0.20300000000000001</v>
      </c>
      <c r="H185" s="208">
        <v>6.6500000000000004E-2</v>
      </c>
      <c r="I185" s="208">
        <v>1.43E-2</v>
      </c>
      <c r="J185" s="208">
        <v>0.23100000000000001</v>
      </c>
      <c r="M185" s="59" t="s">
        <v>710</v>
      </c>
      <c r="N185" s="5" t="s">
        <v>74</v>
      </c>
      <c r="O185" s="23">
        <f t="shared" si="95"/>
        <v>0</v>
      </c>
      <c r="P185" s="23">
        <f t="shared" si="89"/>
        <v>0.15578878320760906</v>
      </c>
      <c r="Q185" s="23">
        <f t="shared" si="90"/>
        <v>0.33289603148573305</v>
      </c>
      <c r="R185" s="23">
        <f t="shared" si="91"/>
        <v>0.10905214824532634</v>
      </c>
      <c r="S185" s="23">
        <f t="shared" si="92"/>
        <v>2.3450311577566416E-2</v>
      </c>
      <c r="T185" s="23">
        <f t="shared" si="93"/>
        <v>0.37881272548376516</v>
      </c>
    </row>
    <row r="186" spans="2:20" x14ac:dyDescent="0.35">
      <c r="B186" s="59" t="s">
        <v>712</v>
      </c>
      <c r="C186" s="5" t="s">
        <v>713</v>
      </c>
      <c r="D186" s="8">
        <f t="shared" si="94"/>
        <v>0.96216999999999997</v>
      </c>
      <c r="E186" s="208">
        <v>0</v>
      </c>
      <c r="F186" s="208">
        <v>0.377</v>
      </c>
      <c r="G186" s="208">
        <v>0.33500000000000002</v>
      </c>
      <c r="H186" s="208">
        <v>8.3000000000000004E-2</v>
      </c>
      <c r="I186" s="208">
        <v>6.1700000000000001E-3</v>
      </c>
      <c r="J186" s="208">
        <v>0.161</v>
      </c>
      <c r="M186" s="59" t="s">
        <v>712</v>
      </c>
      <c r="N186" s="5" t="s">
        <v>74</v>
      </c>
      <c r="O186" s="23">
        <f t="shared" si="95"/>
        <v>0</v>
      </c>
      <c r="P186" s="23">
        <f t="shared" si="89"/>
        <v>0.39182265088290014</v>
      </c>
      <c r="Q186" s="23">
        <f t="shared" si="90"/>
        <v>0.3481713210763171</v>
      </c>
      <c r="R186" s="23">
        <f t="shared" si="91"/>
        <v>8.6263342236818863E-2</v>
      </c>
      <c r="S186" s="23">
        <f t="shared" si="92"/>
        <v>6.4125882120623177E-3</v>
      </c>
      <c r="T186" s="23">
        <f t="shared" si="93"/>
        <v>0.16733009759190165</v>
      </c>
    </row>
    <row r="187" spans="2:20" ht="16.5" x14ac:dyDescent="0.45">
      <c r="B187" s="59" t="s">
        <v>714</v>
      </c>
      <c r="C187" s="5" t="s">
        <v>711</v>
      </c>
      <c r="D187" s="8">
        <f t="shared" si="94"/>
        <v>0.20397999999999999</v>
      </c>
      <c r="E187" s="208">
        <v>0</v>
      </c>
      <c r="F187" s="208">
        <v>2.6700000000000002E-2</v>
      </c>
      <c r="G187" s="208">
        <v>7.2300000000000003E-2</v>
      </c>
      <c r="H187" s="208">
        <v>2.1600000000000001E-2</v>
      </c>
      <c r="I187" s="208">
        <v>4.0800000000000003E-3</v>
      </c>
      <c r="J187" s="208">
        <v>7.9299999999999995E-2</v>
      </c>
      <c r="M187" s="59" t="s">
        <v>714</v>
      </c>
      <c r="N187" s="5" t="s">
        <v>74</v>
      </c>
      <c r="O187" s="23">
        <f t="shared" si="95"/>
        <v>0</v>
      </c>
      <c r="P187" s="23">
        <f t="shared" si="89"/>
        <v>0.13089518580252968</v>
      </c>
      <c r="Q187" s="23">
        <f t="shared" si="90"/>
        <v>0.35444651436415336</v>
      </c>
      <c r="R187" s="23">
        <f t="shared" si="91"/>
        <v>0.10589273458182176</v>
      </c>
      <c r="S187" s="23">
        <f t="shared" si="92"/>
        <v>2.000196097656633E-2</v>
      </c>
      <c r="T187" s="23">
        <f t="shared" si="93"/>
        <v>0.3887636042749289</v>
      </c>
    </row>
    <row r="188" spans="2:20" ht="16.5" x14ac:dyDescent="0.45">
      <c r="B188" s="59" t="s">
        <v>715</v>
      </c>
      <c r="C188" s="5" t="s">
        <v>716</v>
      </c>
      <c r="D188" s="8">
        <f t="shared" si="94"/>
        <v>1.0482399999999998E-2</v>
      </c>
      <c r="E188" s="208">
        <v>0</v>
      </c>
      <c r="F188" s="208">
        <v>1.2999999999999999E-3</v>
      </c>
      <c r="G188" s="208">
        <v>6.4599999999999996E-3</v>
      </c>
      <c r="H188" s="208">
        <v>1.1299999999999999E-3</v>
      </c>
      <c r="I188" s="208">
        <v>9.2399999999999996E-5</v>
      </c>
      <c r="J188" s="208">
        <v>1.5E-3</v>
      </c>
      <c r="M188" s="59" t="s">
        <v>715</v>
      </c>
      <c r="N188" s="5" t="s">
        <v>74</v>
      </c>
      <c r="O188" s="23">
        <f t="shared" si="95"/>
        <v>0</v>
      </c>
      <c r="P188" s="23">
        <f t="shared" si="89"/>
        <v>0.12401740059528354</v>
      </c>
      <c r="Q188" s="23">
        <f t="shared" si="90"/>
        <v>0.61627108295810129</v>
      </c>
      <c r="R188" s="23">
        <f t="shared" si="91"/>
        <v>0.10779974051743878</v>
      </c>
      <c r="S188" s="23">
        <f t="shared" si="92"/>
        <v>8.8147752423109235E-3</v>
      </c>
      <c r="T188" s="23">
        <f t="shared" si="93"/>
        <v>0.14309700068686565</v>
      </c>
    </row>
    <row r="189" spans="2:20" ht="16.5" x14ac:dyDescent="0.45">
      <c r="B189" s="209" t="s">
        <v>717</v>
      </c>
      <c r="C189" s="210" t="s">
        <v>671</v>
      </c>
      <c r="D189" s="211">
        <f>SUM(F189:J189)</f>
        <v>45.514000000000003</v>
      </c>
      <c r="E189" s="213">
        <f>E55</f>
        <v>13.973000000000001</v>
      </c>
      <c r="F189" s="213">
        <v>10.4</v>
      </c>
      <c r="G189" s="213">
        <v>18.8</v>
      </c>
      <c r="H189" s="213">
        <v>4.1900000000000004</v>
      </c>
      <c r="I189" s="213">
        <v>0.52400000000000002</v>
      </c>
      <c r="J189" s="213">
        <v>11.6</v>
      </c>
      <c r="M189" s="209" t="s">
        <v>717</v>
      </c>
      <c r="N189" s="210" t="s">
        <v>74</v>
      </c>
      <c r="O189" s="217">
        <f t="shared" si="95"/>
        <v>0.30700443819484113</v>
      </c>
      <c r="P189" s="217">
        <f t="shared" si="89"/>
        <v>0.22850112053434107</v>
      </c>
      <c r="Q189" s="217">
        <f t="shared" si="90"/>
        <v>0.4130597178890012</v>
      </c>
      <c r="R189" s="217">
        <f t="shared" si="91"/>
        <v>9.205958606143165E-2</v>
      </c>
      <c r="S189" s="217">
        <f t="shared" si="92"/>
        <v>1.1512941073076415E-2</v>
      </c>
      <c r="T189" s="217">
        <f t="shared" si="93"/>
        <v>0.25486663444214963</v>
      </c>
    </row>
    <row r="190" spans="2:20" x14ac:dyDescent="0.35">
      <c r="B190" s="59" t="s">
        <v>718</v>
      </c>
      <c r="C190" s="5" t="s">
        <v>673</v>
      </c>
      <c r="D190" s="8">
        <f t="shared" si="94"/>
        <v>765.31</v>
      </c>
      <c r="E190" s="208">
        <v>0</v>
      </c>
      <c r="F190" s="208">
        <v>169</v>
      </c>
      <c r="G190" s="208">
        <v>278</v>
      </c>
      <c r="H190" s="208">
        <v>74.400000000000006</v>
      </c>
      <c r="I190" s="208">
        <v>7.91</v>
      </c>
      <c r="J190" s="208">
        <v>236</v>
      </c>
      <c r="M190" s="59" t="s">
        <v>718</v>
      </c>
      <c r="N190" s="5" t="s">
        <v>74</v>
      </c>
      <c r="O190" s="23">
        <f t="shared" si="95"/>
        <v>0</v>
      </c>
      <c r="P190" s="23">
        <f t="shared" si="89"/>
        <v>0.22082554781722441</v>
      </c>
      <c r="Q190" s="23">
        <f t="shared" si="90"/>
        <v>0.36325149285910285</v>
      </c>
      <c r="R190" s="23">
        <f t="shared" si="91"/>
        <v>9.7215507441428983E-2</v>
      </c>
      <c r="S190" s="23">
        <f t="shared" si="92"/>
        <v>1.0335680965883108E-2</v>
      </c>
      <c r="T190" s="23">
        <f t="shared" si="93"/>
        <v>0.3083717709163607</v>
      </c>
    </row>
    <row r="191" spans="2:20" x14ac:dyDescent="0.35">
      <c r="B191" s="59" t="s">
        <v>719</v>
      </c>
      <c r="C191" s="5" t="s">
        <v>720</v>
      </c>
      <c r="D191" s="8">
        <f t="shared" si="94"/>
        <v>2.5527000000000002</v>
      </c>
      <c r="E191" s="208">
        <v>0</v>
      </c>
      <c r="F191" s="208">
        <v>0.20899999999999999</v>
      </c>
      <c r="G191" s="208">
        <v>2.0099999999999998</v>
      </c>
      <c r="H191" s="208">
        <v>0.16800000000000001</v>
      </c>
      <c r="I191" s="208">
        <v>3.3700000000000001E-2</v>
      </c>
      <c r="J191" s="208">
        <v>0.13200000000000001</v>
      </c>
      <c r="M191" s="59" t="s">
        <v>719</v>
      </c>
      <c r="N191" s="5" t="s">
        <v>74</v>
      </c>
      <c r="O191" s="23">
        <f t="shared" si="95"/>
        <v>0</v>
      </c>
      <c r="P191" s="23">
        <f t="shared" si="89"/>
        <v>8.1874094096446887E-2</v>
      </c>
      <c r="Q191" s="23">
        <f t="shared" si="90"/>
        <v>0.78740157480314943</v>
      </c>
      <c r="R191" s="23">
        <f t="shared" si="91"/>
        <v>6.5812668938770719E-2</v>
      </c>
      <c r="S191" s="23">
        <f t="shared" si="92"/>
        <v>1.3201707995455791E-2</v>
      </c>
      <c r="T191" s="23">
        <f t="shared" si="93"/>
        <v>5.1709954166176984E-2</v>
      </c>
    </row>
  </sheetData>
  <mergeCells count="22">
    <mergeCell ref="AM5:AM6"/>
    <mergeCell ref="AM8:AM9"/>
    <mergeCell ref="AM11:AM12"/>
    <mergeCell ref="AM14:AM15"/>
    <mergeCell ref="AD5:AD6"/>
    <mergeCell ref="AD8:AD9"/>
    <mergeCell ref="AD11:AD12"/>
    <mergeCell ref="AD14:AD15"/>
    <mergeCell ref="B155:S155"/>
    <mergeCell ref="B174:S174"/>
    <mergeCell ref="B60:S60"/>
    <mergeCell ref="B79:S79"/>
    <mergeCell ref="B98:S98"/>
    <mergeCell ref="B117:S117"/>
    <mergeCell ref="B136:S136"/>
    <mergeCell ref="B10:S10"/>
    <mergeCell ref="B2:S2"/>
    <mergeCell ref="B50:S50"/>
    <mergeCell ref="B42:S42"/>
    <mergeCell ref="B34:S34"/>
    <mergeCell ref="B26:S26"/>
    <mergeCell ref="B18:S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Escenario 3</vt:lpstr>
      <vt:lpstr>Calculations</vt:lpstr>
      <vt:lpstr>LCA inventory (pure CO2)</vt:lpstr>
      <vt:lpstr>Results Pure CO2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Rojo</dc:creator>
  <cp:lastModifiedBy>Elena Rojo</cp:lastModifiedBy>
  <dcterms:created xsi:type="dcterms:W3CDTF">2023-03-29T14:39:09Z</dcterms:created>
  <dcterms:modified xsi:type="dcterms:W3CDTF">2023-04-17T15:23:33Z</dcterms:modified>
</cp:coreProperties>
</file>