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vaes-my.sharepoint.com/personal/beatriz_antolin_uva_es/Documents/Especiación Cu y Zn/Experimental/"/>
    </mc:Choice>
  </mc:AlternateContent>
  <xr:revisionPtr revIDLastSave="650" documentId="8_{40529546-07D7-4BCD-B2B1-E286E90E12E2}" xr6:coauthVersionLast="47" xr6:coauthVersionMax="47" xr10:uidLastSave="{A2F39032-7F69-4C86-90A2-A32A34E04C9E}"/>
  <bookViews>
    <workbookView minimized="1" xWindow="3204" yWindow="3204" windowWidth="7500" windowHeight="6000" xr2:uid="{15178D6A-A8A2-4D6F-9ADB-991D6CAEE902}"/>
  </bookViews>
  <sheets>
    <sheet name="Agua sintética residual" sheetId="3" r:id="rId1"/>
    <sheet name="Biosorción Cu y Zn" sheetId="5" r:id="rId2"/>
    <sheet name="Crecimiento biomasa" sheetId="11" r:id="rId3"/>
    <sheet name="Secos biomasa partida" sheetId="4" r:id="rId4"/>
    <sheet name="Pruebas extrac. simples dif vol" sheetId="9" r:id="rId5"/>
    <sheet name="Extracciones simples. Microalga" sheetId="1" r:id="rId6"/>
    <sheet name="Extracciones simples. Fango" sheetId="2" r:id="rId7"/>
    <sheet name="Extracciones simples. Fango Al" sheetId="8" r:id="rId8"/>
    <sheet name="Extracción secuencial MA" sheetId="6" r:id="rId9"/>
    <sheet name="Extracción secuencial MA REP" sheetId="10" r:id="rId10"/>
    <sheet name="Extracción secuencial Fango" sheetId="7" r:id="rId11"/>
    <sheet name="Gráficos secuenciales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C20" i="5"/>
  <c r="D20" i="5"/>
  <c r="C21" i="5"/>
  <c r="C23" i="5"/>
  <c r="C34" i="5"/>
  <c r="D26" i="5"/>
  <c r="C26" i="5"/>
  <c r="D13" i="5"/>
  <c r="D15" i="5" s="1"/>
  <c r="D22" i="5" s="1"/>
  <c r="J26" i="5"/>
  <c r="J27" i="5" s="1"/>
  <c r="I26" i="5"/>
  <c r="I27" i="5" s="1"/>
  <c r="H4" i="11"/>
  <c r="D50" i="7"/>
  <c r="C50" i="7"/>
  <c r="J35" i="5"/>
  <c r="I35" i="5"/>
  <c r="J21" i="5"/>
  <c r="I21" i="5"/>
  <c r="I20" i="5"/>
  <c r="J18" i="5"/>
  <c r="I18" i="5"/>
  <c r="J13" i="5"/>
  <c r="I13" i="5"/>
  <c r="D35" i="5"/>
  <c r="C35" i="5"/>
  <c r="D21" i="5"/>
  <c r="C18" i="5"/>
  <c r="J34" i="5"/>
  <c r="I34" i="5"/>
  <c r="J20" i="5"/>
  <c r="D18" i="5"/>
  <c r="C7" i="11"/>
  <c r="C9" i="11" s="1"/>
  <c r="C14" i="5" s="1"/>
  <c r="C4" i="11"/>
  <c r="I4" i="1"/>
  <c r="H4" i="1"/>
  <c r="H7" i="11"/>
  <c r="D32" i="5"/>
  <c r="C32" i="5"/>
  <c r="D28" i="5"/>
  <c r="D14" i="5"/>
  <c r="H66" i="2"/>
  <c r="H63" i="2"/>
  <c r="H60" i="2"/>
  <c r="H55" i="2"/>
  <c r="H52" i="2"/>
  <c r="H49" i="2"/>
  <c r="D37" i="2"/>
  <c r="D34" i="2"/>
  <c r="K10" i="2"/>
  <c r="K7" i="2"/>
  <c r="K4" i="2"/>
  <c r="I27" i="2"/>
  <c r="I28" i="2"/>
  <c r="I26" i="2"/>
  <c r="I24" i="2"/>
  <c r="I25" i="2"/>
  <c r="I23" i="2"/>
  <c r="I21" i="2"/>
  <c r="I22" i="2"/>
  <c r="I20" i="2"/>
  <c r="J25" i="1"/>
  <c r="I27" i="1"/>
  <c r="I26" i="1"/>
  <c r="I25" i="1"/>
  <c r="I10" i="2"/>
  <c r="I12" i="2"/>
  <c r="I11" i="2"/>
  <c r="I9" i="2"/>
  <c r="I8" i="2"/>
  <c r="I7" i="2"/>
  <c r="I6" i="2"/>
  <c r="I5" i="2"/>
  <c r="I4" i="2"/>
  <c r="K25" i="1"/>
  <c r="K22" i="1"/>
  <c r="K19" i="1"/>
  <c r="C47" i="1"/>
  <c r="D47" i="1"/>
  <c r="H49" i="1"/>
  <c r="D50" i="1"/>
  <c r="H52" i="1"/>
  <c r="D53" i="1"/>
  <c r="H55" i="1"/>
  <c r="D33" i="1"/>
  <c r="C39" i="1"/>
  <c r="C36" i="1"/>
  <c r="C33" i="1"/>
  <c r="I24" i="1"/>
  <c r="I23" i="1"/>
  <c r="I20" i="1"/>
  <c r="I21" i="1"/>
  <c r="I22" i="1"/>
  <c r="I19" i="1"/>
  <c r="J10" i="1"/>
  <c r="K10" i="1"/>
  <c r="K7" i="1"/>
  <c r="K4" i="1"/>
  <c r="J13" i="1"/>
  <c r="I11" i="1"/>
  <c r="I12" i="1"/>
  <c r="I10" i="1"/>
  <c r="J7" i="1"/>
  <c r="J4" i="1"/>
  <c r="I8" i="1"/>
  <c r="I9" i="1"/>
  <c r="I7" i="1"/>
  <c r="I6" i="1"/>
  <c r="I5" i="1"/>
  <c r="E33" i="1"/>
  <c r="H66" i="1"/>
  <c r="H63" i="1"/>
  <c r="H60" i="1"/>
  <c r="I4" i="11"/>
  <c r="I7" i="11"/>
  <c r="D4" i="11"/>
  <c r="E19" i="11"/>
  <c r="I18" i="11"/>
  <c r="I19" i="11" s="1"/>
  <c r="H18" i="11"/>
  <c r="H19" i="11" s="1"/>
  <c r="J19" i="11" s="1"/>
  <c r="D18" i="11"/>
  <c r="D19" i="11" s="1"/>
  <c r="C18" i="11"/>
  <c r="C19" i="11" s="1"/>
  <c r="D7" i="11"/>
  <c r="D27" i="5" l="1"/>
  <c r="D29" i="5" s="1"/>
  <c r="D36" i="5" s="1"/>
  <c r="D37" i="5" s="1"/>
  <c r="C27" i="5"/>
  <c r="C13" i="5"/>
  <c r="C15" i="5" s="1"/>
  <c r="C28" i="5"/>
  <c r="J7" i="2"/>
  <c r="J4" i="2"/>
  <c r="J10" i="2"/>
  <c r="J22" i="1"/>
  <c r="J19" i="1"/>
  <c r="H9" i="11"/>
  <c r="I14" i="5" s="1"/>
  <c r="I9" i="11"/>
  <c r="J14" i="5" s="1"/>
  <c r="D9" i="11"/>
  <c r="C29" i="5" l="1"/>
  <c r="C36" i="5" s="1"/>
  <c r="C37" i="5" s="1"/>
  <c r="J15" i="5"/>
  <c r="J22" i="5" s="1"/>
  <c r="J28" i="5"/>
  <c r="J29" i="5" s="1"/>
  <c r="J36" i="5" s="1"/>
  <c r="I15" i="5"/>
  <c r="I22" i="5" s="1"/>
  <c r="I28" i="5"/>
  <c r="I29" i="5" s="1"/>
  <c r="D80" i="10"/>
  <c r="E80" i="10" s="1"/>
  <c r="D79" i="10"/>
  <c r="E79" i="10" s="1"/>
  <c r="D65" i="10"/>
  <c r="E65" i="10" s="1"/>
  <c r="D64" i="10"/>
  <c r="E64" i="10" s="1"/>
  <c r="H79" i="7"/>
  <c r="H64" i="7"/>
  <c r="G64" i="7"/>
  <c r="F64" i="7"/>
  <c r="E65" i="7"/>
  <c r="E64" i="7"/>
  <c r="D65" i="7"/>
  <c r="D64" i="7"/>
  <c r="D79" i="7"/>
  <c r="E79" i="7" s="1"/>
  <c r="D80" i="7"/>
  <c r="E80" i="7" s="1"/>
  <c r="H36" i="7"/>
  <c r="I36" i="5" l="1"/>
  <c r="I37" i="5" s="1"/>
  <c r="F79" i="10"/>
  <c r="G79" i="10" s="1"/>
  <c r="H79" i="10"/>
  <c r="F64" i="10"/>
  <c r="G64" i="10" s="1"/>
  <c r="H64" i="10"/>
  <c r="F79" i="7"/>
  <c r="G79" i="7" s="1"/>
  <c r="F37" i="7"/>
  <c r="H37" i="7" s="1"/>
  <c r="H29" i="2"/>
  <c r="H22" i="7"/>
  <c r="H21" i="7"/>
  <c r="E26" i="6"/>
  <c r="H26" i="6"/>
  <c r="L35" i="6"/>
  <c r="L20" i="6"/>
  <c r="N7" i="1"/>
  <c r="N8" i="1" s="1"/>
  <c r="P8" i="1" s="1"/>
  <c r="O7" i="1"/>
  <c r="O8" i="1" s="1"/>
  <c r="I34" i="6"/>
  <c r="D51" i="2" l="1"/>
  <c r="D54" i="2"/>
  <c r="D48" i="2"/>
  <c r="D40" i="2"/>
  <c r="D39" i="1"/>
  <c r="D36" i="1"/>
  <c r="H19" i="10"/>
  <c r="H22" i="10"/>
  <c r="H21" i="10"/>
  <c r="E37" i="10"/>
  <c r="H20" i="10"/>
  <c r="E36" i="10"/>
  <c r="E35" i="10"/>
  <c r="E34" i="10"/>
  <c r="F35" i="10"/>
  <c r="H36" i="10"/>
  <c r="F34" i="10"/>
  <c r="K6" i="10"/>
  <c r="K7" i="10" s="1"/>
  <c r="J6" i="10"/>
  <c r="J7" i="10" s="1"/>
  <c r="L7" i="10" s="1"/>
  <c r="E11" i="10" l="1"/>
  <c r="H11" i="10" s="1"/>
  <c r="H37" i="10"/>
  <c r="I36" i="10" s="1"/>
  <c r="K36" i="10" s="1"/>
  <c r="J19" i="10"/>
  <c r="E18" i="10"/>
  <c r="H18" i="10" s="1"/>
  <c r="E17" i="10"/>
  <c r="H17" i="10" s="1"/>
  <c r="E16" i="10"/>
  <c r="H16" i="10" s="1"/>
  <c r="E15" i="10"/>
  <c r="H15" i="10" s="1"/>
  <c r="E14" i="10"/>
  <c r="H14" i="10" s="1"/>
  <c r="E13" i="10"/>
  <c r="H13" i="10" s="1"/>
  <c r="E12" i="10"/>
  <c r="H12" i="10" s="1"/>
  <c r="J21" i="10"/>
  <c r="H34" i="10"/>
  <c r="H35" i="10"/>
  <c r="E33" i="10"/>
  <c r="H33" i="10" s="1"/>
  <c r="E28" i="10"/>
  <c r="H28" i="10" s="1"/>
  <c r="E26" i="10"/>
  <c r="H26" i="10" s="1"/>
  <c r="E30" i="10"/>
  <c r="H30" i="10" s="1"/>
  <c r="E32" i="10"/>
  <c r="H32" i="10" s="1"/>
  <c r="E27" i="10"/>
  <c r="H27" i="10" s="1"/>
  <c r="E31" i="10"/>
  <c r="H31" i="10" s="1"/>
  <c r="E29" i="10"/>
  <c r="H29" i="10" s="1"/>
  <c r="I21" i="10"/>
  <c r="I19" i="10"/>
  <c r="J30" i="10" l="1"/>
  <c r="J26" i="10"/>
  <c r="J28" i="10"/>
  <c r="J34" i="10"/>
  <c r="J32" i="10"/>
  <c r="J36" i="10"/>
  <c r="I34" i="10"/>
  <c r="I11" i="10"/>
  <c r="J11" i="10"/>
  <c r="J17" i="10"/>
  <c r="I17" i="10"/>
  <c r="I32" i="10"/>
  <c r="K21" i="10"/>
  <c r="J13" i="10"/>
  <c r="I13" i="10"/>
  <c r="I15" i="10"/>
  <c r="J15" i="10"/>
  <c r="I30" i="10"/>
  <c r="I26" i="10"/>
  <c r="I28" i="10"/>
  <c r="L35" i="10" l="1"/>
  <c r="M35" i="10" s="1"/>
  <c r="L20" i="10"/>
  <c r="M20" i="10"/>
  <c r="K19" i="10" l="1"/>
  <c r="K15" i="10"/>
  <c r="K13" i="10"/>
  <c r="K17" i="10"/>
  <c r="K11" i="10"/>
  <c r="K34" i="10"/>
  <c r="K28" i="10"/>
  <c r="K30" i="10"/>
  <c r="K32" i="10"/>
  <c r="K26" i="10"/>
  <c r="H36" i="6"/>
  <c r="I36" i="7"/>
  <c r="K36" i="7" l="1"/>
  <c r="L11" i="10"/>
  <c r="L19" i="10"/>
  <c r="L26" i="10"/>
  <c r="L34" i="10"/>
  <c r="J21" i="7"/>
  <c r="J36" i="7"/>
  <c r="I21" i="7"/>
  <c r="H37" i="6"/>
  <c r="I36" i="6" s="1"/>
  <c r="K36" i="6" s="1"/>
  <c r="H21" i="6"/>
  <c r="H22" i="6"/>
  <c r="K21" i="7" l="1"/>
  <c r="J21" i="6"/>
  <c r="J36" i="6"/>
  <c r="I21" i="6"/>
  <c r="K21" i="6" s="1"/>
  <c r="H20" i="6"/>
  <c r="H19" i="6"/>
  <c r="E31" i="9" l="1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H33" i="9"/>
  <c r="E34" i="7"/>
  <c r="E35" i="7"/>
  <c r="F35" i="7"/>
  <c r="F34" i="7"/>
  <c r="H35" i="6"/>
  <c r="H34" i="6"/>
  <c r="E35" i="6"/>
  <c r="E34" i="6"/>
  <c r="F35" i="6"/>
  <c r="F34" i="6"/>
  <c r="J6" i="6"/>
  <c r="J7" i="6" s="1"/>
  <c r="K6" i="7" l="1"/>
  <c r="K7" i="7" s="1"/>
  <c r="J6" i="7"/>
  <c r="J7" i="7" s="1"/>
  <c r="K6" i="6"/>
  <c r="K7" i="6" s="1"/>
  <c r="L7" i="6" s="1"/>
  <c r="E10" i="9"/>
  <c r="E11" i="9"/>
  <c r="E12" i="9"/>
  <c r="E13" i="9"/>
  <c r="E14" i="9"/>
  <c r="E15" i="9"/>
  <c r="E16" i="9"/>
  <c r="E17" i="9"/>
  <c r="H17" i="9" s="1"/>
  <c r="E18" i="9"/>
  <c r="E19" i="9"/>
  <c r="E20" i="9"/>
  <c r="E21" i="9"/>
  <c r="E22" i="9"/>
  <c r="E5" i="9"/>
  <c r="E6" i="9"/>
  <c r="H6" i="9" s="1"/>
  <c r="E7" i="9"/>
  <c r="E8" i="9"/>
  <c r="E4" i="9"/>
  <c r="E17" i="8"/>
  <c r="E5" i="8"/>
  <c r="E6" i="8"/>
  <c r="E7" i="8"/>
  <c r="E8" i="8"/>
  <c r="E9" i="8"/>
  <c r="E4" i="8"/>
  <c r="H43" i="9"/>
  <c r="H44" i="9"/>
  <c r="H45" i="9"/>
  <c r="H46" i="9"/>
  <c r="H47" i="9"/>
  <c r="H48" i="9"/>
  <c r="H36" i="9"/>
  <c r="H37" i="9"/>
  <c r="H38" i="9"/>
  <c r="H39" i="9"/>
  <c r="H40" i="9"/>
  <c r="H41" i="9"/>
  <c r="H31" i="9"/>
  <c r="H32" i="9"/>
  <c r="H34" i="9"/>
  <c r="H18" i="9"/>
  <c r="H19" i="9"/>
  <c r="H20" i="9"/>
  <c r="H21" i="9"/>
  <c r="H22" i="9"/>
  <c r="H10" i="9"/>
  <c r="H11" i="9"/>
  <c r="H12" i="9"/>
  <c r="H13" i="9"/>
  <c r="H14" i="9"/>
  <c r="H15" i="9"/>
  <c r="H5" i="9"/>
  <c r="H7" i="9"/>
  <c r="H8" i="9"/>
  <c r="H4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30" i="9"/>
  <c r="E28" i="6" l="1"/>
  <c r="H28" i="6" s="1"/>
  <c r="E32" i="6"/>
  <c r="E14" i="6"/>
  <c r="E18" i="6"/>
  <c r="E16" i="6"/>
  <c r="E31" i="6"/>
  <c r="E15" i="6"/>
  <c r="E29" i="6"/>
  <c r="E33" i="6"/>
  <c r="E13" i="6"/>
  <c r="E17" i="6"/>
  <c r="E30" i="6"/>
  <c r="E12" i="6"/>
  <c r="E27" i="6"/>
  <c r="H27" i="6" s="1"/>
  <c r="E11" i="6"/>
  <c r="L7" i="7"/>
  <c r="E12" i="7" s="1"/>
  <c r="F50" i="9"/>
  <c r="H50" i="9" s="1"/>
  <c r="E50" i="9"/>
  <c r="F49" i="9"/>
  <c r="H49" i="9" s="1"/>
  <c r="E49" i="9"/>
  <c r="F44" i="9"/>
  <c r="F43" i="9"/>
  <c r="F42" i="9"/>
  <c r="F37" i="9"/>
  <c r="F36" i="9"/>
  <c r="F35" i="9"/>
  <c r="H35" i="9"/>
  <c r="F32" i="9"/>
  <c r="F31" i="9"/>
  <c r="F30" i="9"/>
  <c r="H24" i="9"/>
  <c r="H23" i="9"/>
  <c r="O10" i="9"/>
  <c r="O9" i="9"/>
  <c r="N9" i="9"/>
  <c r="N10" i="9" s="1"/>
  <c r="P10" i="9" s="1"/>
  <c r="F24" i="8"/>
  <c r="E24" i="8"/>
  <c r="F23" i="8"/>
  <c r="E23" i="8"/>
  <c r="F22" i="8"/>
  <c r="D22" i="8"/>
  <c r="F21" i="8"/>
  <c r="D21" i="8"/>
  <c r="F20" i="8"/>
  <c r="D20" i="8"/>
  <c r="F19" i="8"/>
  <c r="D19" i="8"/>
  <c r="F18" i="8"/>
  <c r="D18" i="8"/>
  <c r="F17" i="8"/>
  <c r="D17" i="8"/>
  <c r="H11" i="8"/>
  <c r="H10" i="8"/>
  <c r="O7" i="8"/>
  <c r="O8" i="8" s="1"/>
  <c r="N7" i="8"/>
  <c r="N8" i="8" s="1"/>
  <c r="E27" i="7" l="1"/>
  <c r="H27" i="7" s="1"/>
  <c r="E26" i="7"/>
  <c r="H26" i="7" s="1"/>
  <c r="E11" i="7"/>
  <c r="H11" i="7" s="1"/>
  <c r="E33" i="7"/>
  <c r="H33" i="7" s="1"/>
  <c r="E18" i="7"/>
  <c r="H18" i="7" s="1"/>
  <c r="E16" i="7"/>
  <c r="H16" i="7" s="1"/>
  <c r="E14" i="7"/>
  <c r="H14" i="7" s="1"/>
  <c r="E17" i="7"/>
  <c r="H17" i="7" s="1"/>
  <c r="E31" i="7"/>
  <c r="E29" i="7"/>
  <c r="H29" i="7" s="1"/>
  <c r="E32" i="7"/>
  <c r="H32" i="7" s="1"/>
  <c r="E13" i="7"/>
  <c r="H13" i="7" s="1"/>
  <c r="E15" i="7"/>
  <c r="H15" i="7" s="1"/>
  <c r="E28" i="7"/>
  <c r="H28" i="7" s="1"/>
  <c r="E30" i="7"/>
  <c r="H30" i="7" s="1"/>
  <c r="I10" i="8"/>
  <c r="K10" i="8" s="1"/>
  <c r="J23" i="9"/>
  <c r="P8" i="8"/>
  <c r="H17" i="8" s="1"/>
  <c r="E9" i="9"/>
  <c r="H9" i="9" s="1"/>
  <c r="H16" i="9"/>
  <c r="E30" i="9"/>
  <c r="J49" i="9"/>
  <c r="I49" i="9"/>
  <c r="K49" i="9" s="1"/>
  <c r="J35" i="9"/>
  <c r="H42" i="9"/>
  <c r="H30" i="9"/>
  <c r="I23" i="9"/>
  <c r="K23" i="9" s="1"/>
  <c r="H23" i="8"/>
  <c r="H24" i="8"/>
  <c r="H8" i="8"/>
  <c r="H5" i="8"/>
  <c r="H9" i="8"/>
  <c r="H7" i="8"/>
  <c r="H6" i="8"/>
  <c r="H4" i="8"/>
  <c r="J10" i="8"/>
  <c r="H35" i="7"/>
  <c r="H34" i="7"/>
  <c r="H31" i="7"/>
  <c r="H20" i="7"/>
  <c r="H19" i="7"/>
  <c r="J19" i="7" s="1"/>
  <c r="H12" i="7"/>
  <c r="J26" i="6"/>
  <c r="J34" i="6"/>
  <c r="H33" i="6"/>
  <c r="H32" i="6"/>
  <c r="H31" i="6"/>
  <c r="H30" i="6"/>
  <c r="H29" i="6"/>
  <c r="H11" i="6"/>
  <c r="H18" i="6"/>
  <c r="H17" i="6"/>
  <c r="H16" i="6"/>
  <c r="H15" i="6"/>
  <c r="H14" i="6"/>
  <c r="H13" i="6"/>
  <c r="H12" i="6"/>
  <c r="J11" i="7" l="1"/>
  <c r="J15" i="7"/>
  <c r="I34" i="7"/>
  <c r="J32" i="7"/>
  <c r="J30" i="7"/>
  <c r="I15" i="6"/>
  <c r="K15" i="6" s="1"/>
  <c r="I23" i="8"/>
  <c r="K23" i="8" s="1"/>
  <c r="J34" i="7"/>
  <c r="J28" i="6"/>
  <c r="J30" i="6"/>
  <c r="I32" i="6"/>
  <c r="K32" i="6" s="1"/>
  <c r="J32" i="6"/>
  <c r="J19" i="6"/>
  <c r="J11" i="6"/>
  <c r="I19" i="6"/>
  <c r="K19" i="6" s="1"/>
  <c r="I17" i="6"/>
  <c r="K17" i="6" s="1"/>
  <c r="J28" i="7"/>
  <c r="J17" i="7"/>
  <c r="I15" i="7"/>
  <c r="I13" i="7"/>
  <c r="I30" i="7"/>
  <c r="J26" i="7"/>
  <c r="I28" i="7"/>
  <c r="J13" i="7"/>
  <c r="I11" i="7"/>
  <c r="I28" i="6"/>
  <c r="K28" i="6" s="1"/>
  <c r="E21" i="8"/>
  <c r="H21" i="8" s="1"/>
  <c r="J21" i="8" s="1"/>
  <c r="E19" i="8"/>
  <c r="H19" i="8" s="1"/>
  <c r="E20" i="8"/>
  <c r="H20" i="8" s="1"/>
  <c r="E22" i="8"/>
  <c r="H22" i="8" s="1"/>
  <c r="E18" i="8"/>
  <c r="H18" i="8" s="1"/>
  <c r="J17" i="8" s="1"/>
  <c r="J16" i="9"/>
  <c r="I16" i="9"/>
  <c r="K16" i="9" s="1"/>
  <c r="J30" i="9"/>
  <c r="I30" i="9"/>
  <c r="K30" i="9" s="1"/>
  <c r="J9" i="9"/>
  <c r="I9" i="9"/>
  <c r="K9" i="9" s="1"/>
  <c r="J42" i="9"/>
  <c r="I42" i="9"/>
  <c r="K42" i="9" s="1"/>
  <c r="I4" i="9"/>
  <c r="K4" i="9" s="1"/>
  <c r="J4" i="9"/>
  <c r="I35" i="9"/>
  <c r="K35" i="9" s="1"/>
  <c r="J23" i="8"/>
  <c r="J8" i="8"/>
  <c r="I8" i="8"/>
  <c r="K8" i="8" s="1"/>
  <c r="I6" i="8"/>
  <c r="K6" i="8" s="1"/>
  <c r="J6" i="8"/>
  <c r="J4" i="8"/>
  <c r="I4" i="8"/>
  <c r="K4" i="8" s="1"/>
  <c r="I17" i="7"/>
  <c r="I32" i="7"/>
  <c r="I26" i="7"/>
  <c r="I19" i="7"/>
  <c r="I26" i="6"/>
  <c r="I30" i="6"/>
  <c r="K30" i="6" s="1"/>
  <c r="K34" i="6"/>
  <c r="I11" i="6"/>
  <c r="J15" i="6"/>
  <c r="J17" i="6"/>
  <c r="J13" i="6"/>
  <c r="I13" i="6"/>
  <c r="K13" i="6" s="1"/>
  <c r="H4" i="2"/>
  <c r="C8" i="5"/>
  <c r="D34" i="5"/>
  <c r="J7" i="4"/>
  <c r="C6" i="5"/>
  <c r="I8" i="5"/>
  <c r="I6" i="5"/>
  <c r="D23" i="5" l="1"/>
  <c r="I23" i="5"/>
  <c r="F34" i="5"/>
  <c r="E34" i="5"/>
  <c r="K20" i="5"/>
  <c r="L20" i="5"/>
  <c r="K34" i="5"/>
  <c r="L34" i="5"/>
  <c r="F20" i="5"/>
  <c r="E20" i="5"/>
  <c r="L20" i="7"/>
  <c r="M20" i="7" s="1"/>
  <c r="J37" i="5"/>
  <c r="I32" i="5"/>
  <c r="J32" i="5"/>
  <c r="L35" i="7"/>
  <c r="M35" i="7" s="1"/>
  <c r="K26" i="6"/>
  <c r="M35" i="6"/>
  <c r="K11" i="6"/>
  <c r="M20" i="6"/>
  <c r="I19" i="8"/>
  <c r="K19" i="8" s="1"/>
  <c r="I17" i="8"/>
  <c r="K17" i="8" s="1"/>
  <c r="I21" i="8"/>
  <c r="K21" i="8" s="1"/>
  <c r="J19" i="8"/>
  <c r="L37" i="5" l="1"/>
  <c r="F23" i="5"/>
  <c r="F37" i="5"/>
  <c r="E37" i="5"/>
  <c r="K19" i="7"/>
  <c r="J23" i="5"/>
  <c r="K15" i="7"/>
  <c r="K13" i="7"/>
  <c r="K11" i="7"/>
  <c r="K17" i="7"/>
  <c r="K28" i="7"/>
  <c r="K32" i="7"/>
  <c r="K30" i="7"/>
  <c r="K26" i="7"/>
  <c r="K34" i="7"/>
  <c r="E29" i="2"/>
  <c r="E30" i="2"/>
  <c r="K37" i="5" l="1"/>
  <c r="E23" i="5"/>
  <c r="L23" i="5"/>
  <c r="K23" i="5"/>
  <c r="M11" i="7"/>
  <c r="M26" i="7"/>
  <c r="H13" i="1"/>
  <c r="I13" i="1" s="1"/>
  <c r="H14" i="1"/>
  <c r="H13" i="2"/>
  <c r="H14" i="2"/>
  <c r="H30" i="2"/>
  <c r="F30" i="2"/>
  <c r="F29" i="2"/>
  <c r="F29" i="1"/>
  <c r="F28" i="1"/>
  <c r="H29" i="1" l="1"/>
  <c r="I13" i="2"/>
  <c r="K13" i="2" s="1"/>
  <c r="J13" i="2"/>
  <c r="I29" i="2"/>
  <c r="J29" i="2"/>
  <c r="E28" i="1"/>
  <c r="H28" i="1" s="1"/>
  <c r="E29" i="1"/>
  <c r="E7" i="4"/>
  <c r="I6" i="4"/>
  <c r="I7" i="4" s="1"/>
  <c r="H6" i="4"/>
  <c r="H7" i="4" s="1"/>
  <c r="D6" i="4"/>
  <c r="D7" i="4" s="1"/>
  <c r="C6" i="4"/>
  <c r="C7" i="4" s="1"/>
  <c r="E4" i="2"/>
  <c r="E20" i="2"/>
  <c r="E25" i="2"/>
  <c r="E23" i="2"/>
  <c r="E5" i="2"/>
  <c r="H5" i="2" s="1"/>
  <c r="E6" i="2"/>
  <c r="H6" i="2" s="1"/>
  <c r="E7" i="2"/>
  <c r="H7" i="2" s="1"/>
  <c r="E8" i="2"/>
  <c r="H8" i="2" s="1"/>
  <c r="E9" i="2"/>
  <c r="H9" i="2" s="1"/>
  <c r="E10" i="2"/>
  <c r="H10" i="2" s="1"/>
  <c r="E11" i="2"/>
  <c r="H11" i="2" s="1"/>
  <c r="E12" i="2"/>
  <c r="H12" i="2" s="1"/>
  <c r="O7" i="2"/>
  <c r="O8" i="2" s="1"/>
  <c r="N7" i="2"/>
  <c r="N8" i="2" s="1"/>
  <c r="P8" i="2" s="1"/>
  <c r="E5" i="1"/>
  <c r="H5" i="1" s="1"/>
  <c r="D21" i="2"/>
  <c r="E21" i="2" s="1"/>
  <c r="D22" i="2"/>
  <c r="E22" i="2" s="1"/>
  <c r="D23" i="2"/>
  <c r="D24" i="2"/>
  <c r="E24" i="2" s="1"/>
  <c r="D25" i="2"/>
  <c r="D26" i="2"/>
  <c r="E26" i="2" s="1"/>
  <c r="D27" i="2"/>
  <c r="E27" i="2" s="1"/>
  <c r="D28" i="2"/>
  <c r="E28" i="2" s="1"/>
  <c r="D20" i="2"/>
  <c r="D20" i="1"/>
  <c r="D21" i="1"/>
  <c r="D22" i="1"/>
  <c r="E22" i="1" s="1"/>
  <c r="H22" i="1" s="1"/>
  <c r="D23" i="1"/>
  <c r="E23" i="1" s="1"/>
  <c r="H23" i="1" s="1"/>
  <c r="D24" i="1"/>
  <c r="E24" i="1" s="1"/>
  <c r="H24" i="1" s="1"/>
  <c r="D25" i="1"/>
  <c r="E25" i="1" s="1"/>
  <c r="H25" i="1" s="1"/>
  <c r="D26" i="1"/>
  <c r="D27" i="1"/>
  <c r="D19" i="1"/>
  <c r="I28" i="1" l="1"/>
  <c r="K28" i="1" s="1"/>
  <c r="J28" i="1"/>
  <c r="E19" i="1"/>
  <c r="H19" i="1" s="1"/>
  <c r="E10" i="1"/>
  <c r="H10" i="1" s="1"/>
  <c r="E21" i="1"/>
  <c r="H21" i="1" s="1"/>
  <c r="E9" i="1"/>
  <c r="H9" i="1" s="1"/>
  <c r="E4" i="1"/>
  <c r="E11" i="1"/>
  <c r="H11" i="1" s="1"/>
  <c r="E20" i="1"/>
  <c r="H20" i="1" s="1"/>
  <c r="E8" i="1"/>
  <c r="H8" i="1" s="1"/>
  <c r="E7" i="1"/>
  <c r="H7" i="1" s="1"/>
  <c r="E26" i="1"/>
  <c r="H26" i="1" s="1"/>
  <c r="E12" i="1"/>
  <c r="H12" i="1" s="1"/>
  <c r="E27" i="1"/>
  <c r="H27" i="1" s="1"/>
  <c r="E6" i="1"/>
  <c r="H6" i="1" s="1"/>
  <c r="K29" i="2"/>
  <c r="C4" i="3"/>
  <c r="G4" i="3" s="1"/>
  <c r="C5" i="3"/>
  <c r="G5" i="3" s="1"/>
  <c r="C6" i="3"/>
  <c r="G6" i="3" s="1"/>
  <c r="C7" i="3"/>
  <c r="G7" i="3" s="1"/>
  <c r="C8" i="3"/>
  <c r="G8" i="3" s="1"/>
  <c r="C9" i="3"/>
  <c r="G9" i="3" s="1"/>
  <c r="C3" i="3"/>
  <c r="G3" i="3" s="1"/>
  <c r="E39" i="1" l="1"/>
  <c r="E36" i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l="1"/>
  <c r="J20" i="2" l="1"/>
  <c r="K20" i="2"/>
  <c r="K23" i="2"/>
  <c r="J23" i="2"/>
  <c r="J26" i="2"/>
  <c r="K26" i="2"/>
</calcChain>
</file>

<file path=xl/sharedStrings.xml><?xml version="1.0" encoding="utf-8"?>
<sst xmlns="http://schemas.openxmlformats.org/spreadsheetml/2006/main" count="821" uniqueCount="195">
  <si>
    <t>Concentración final</t>
  </si>
  <si>
    <t>Concentración madre</t>
  </si>
  <si>
    <t>Volumen dis madre (L)</t>
  </si>
  <si>
    <t>Volumen (mL)</t>
  </si>
  <si>
    <t xml:space="preserve">Volumen final </t>
  </si>
  <si>
    <t>Cantidad pesar (mg)</t>
  </si>
  <si>
    <t>Urea</t>
  </si>
  <si>
    <r>
      <t>KNO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</si>
  <si>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CaCl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· 2H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</si>
  <si>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t>NaCl</t>
  </si>
  <si>
    <r>
      <t>MgSO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· 7H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</si>
  <si>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r>
      <t>Mm(CuCl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·2H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 / g mol-1</t>
    </r>
  </si>
  <si>
    <t>Mm(ZnCl2) / g mol-1</t>
  </si>
  <si>
    <t>Secos MA</t>
  </si>
  <si>
    <t>Mm (Cu) / g mol-1</t>
  </si>
  <si>
    <t>Mm (Zn) / g mol-1</t>
  </si>
  <si>
    <t>Secos F</t>
  </si>
  <si>
    <t>Pureza / %</t>
  </si>
  <si>
    <r>
      <t>C</t>
    </r>
    <r>
      <rPr>
        <vertAlign val="subscript"/>
        <sz val="11"/>
        <color theme="1"/>
        <rFont val="Calibri"/>
        <family val="2"/>
        <scheme val="minor"/>
      </rPr>
      <t>Cu</t>
    </r>
    <r>
      <rPr>
        <sz val="11"/>
        <color theme="1"/>
        <rFont val="Calibri"/>
        <family val="2"/>
        <scheme val="minor"/>
      </rPr>
      <t xml:space="preserve"> disolución teórica/ ppm</t>
    </r>
  </si>
  <si>
    <r>
      <t>C</t>
    </r>
    <r>
      <rPr>
        <vertAlign val="subscript"/>
        <sz val="11"/>
        <color theme="1"/>
        <rFont val="Calibri"/>
        <family val="2"/>
        <scheme val="minor"/>
      </rPr>
      <t>Zn</t>
    </r>
    <r>
      <rPr>
        <sz val="11"/>
        <color theme="1"/>
        <rFont val="Calibri"/>
        <family val="2"/>
        <scheme val="minor"/>
      </rPr>
      <t xml:space="preserve">  disolución teórica / ppm</t>
    </r>
  </si>
  <si>
    <r>
      <t>m</t>
    </r>
    <r>
      <rPr>
        <vertAlign val="subscript"/>
        <sz val="11"/>
        <color theme="1"/>
        <rFont val="Calibri"/>
        <family val="2"/>
        <scheme val="minor"/>
      </rPr>
      <t>Teórica</t>
    </r>
    <r>
      <rPr>
        <sz val="11"/>
        <color theme="1"/>
        <rFont val="Calibri"/>
        <family val="2"/>
        <scheme val="minor"/>
      </rPr>
      <t xml:space="preserve"> (CuCl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·2H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 / mg</t>
    </r>
  </si>
  <si>
    <r>
      <t>m</t>
    </r>
    <r>
      <rPr>
        <vertAlign val="subscript"/>
        <sz val="11"/>
        <color theme="1"/>
        <rFont val="Calibri"/>
        <family val="2"/>
        <scheme val="minor"/>
      </rPr>
      <t>Teórica</t>
    </r>
    <r>
      <rPr>
        <sz val="11"/>
        <color theme="1"/>
        <rFont val="Calibri"/>
        <family val="2"/>
        <scheme val="minor"/>
      </rPr>
      <t xml:space="preserve"> (ZnCl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/ mg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</si>
  <si>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Real</t>
    </r>
    <r>
      <rPr>
        <b/>
        <sz val="11"/>
        <color theme="1"/>
        <rFont val="Calibri"/>
        <family val="2"/>
        <scheme val="minor"/>
      </rPr>
      <t xml:space="preserve"> (CuCl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·2H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O) / mg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</si>
  <si>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Real</t>
    </r>
    <r>
      <rPr>
        <b/>
        <sz val="11"/>
        <color theme="1"/>
        <rFont val="Calibri"/>
        <family val="2"/>
        <scheme val="minor"/>
      </rPr>
      <t xml:space="preserve"> (ZnCl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 / mg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</si>
  <si>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Cu</t>
    </r>
    <r>
      <rPr>
        <b/>
        <sz val="11"/>
        <color theme="1"/>
        <rFont val="Calibri"/>
        <family val="2"/>
        <scheme val="minor"/>
      </rPr>
      <t xml:space="preserve">  Real Dis Madre / ppm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</si>
  <si>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Zn</t>
    </r>
    <r>
      <rPr>
        <b/>
        <sz val="11"/>
        <color theme="1"/>
        <rFont val="Calibri"/>
        <family val="2"/>
        <scheme val="minor"/>
      </rPr>
      <t xml:space="preserve">  Real Dis Madre / ppm</t>
    </r>
  </si>
  <si>
    <t>MICROALGA - SCENEDESMUS ALMERIENSIS</t>
  </si>
  <si>
    <t>FANGO AEROBIO</t>
  </si>
  <si>
    <t>Número de recipiente</t>
  </si>
  <si>
    <t>100 ppm</t>
  </si>
  <si>
    <t>m Alga añadida / g</t>
  </si>
  <si>
    <t>m Fango añadido / g</t>
  </si>
  <si>
    <t>Concentración del alga inicial (g/L)</t>
  </si>
  <si>
    <t>%Crecimiento</t>
  </si>
  <si>
    <t>Concentración del alga final (g/L)</t>
  </si>
  <si>
    <t>Alga seca digestión / g</t>
  </si>
  <si>
    <t>Cu(II)</t>
  </si>
  <si>
    <t>V matraz / mL</t>
  </si>
  <si>
    <r>
      <t>C</t>
    </r>
    <r>
      <rPr>
        <b/>
        <vertAlign val="subscript"/>
        <sz val="11"/>
        <rFont val="Calibri"/>
        <family val="2"/>
        <scheme val="minor"/>
      </rPr>
      <t>Cu</t>
    </r>
    <r>
      <rPr>
        <b/>
        <sz val="11"/>
        <rFont val="Calibri"/>
        <family val="2"/>
        <scheme val="minor"/>
      </rPr>
      <t xml:space="preserve"> Teórica Máx / ppm</t>
    </r>
  </si>
  <si>
    <r>
      <t>C</t>
    </r>
    <r>
      <rPr>
        <b/>
        <vertAlign val="subscript"/>
        <sz val="11"/>
        <rFont val="Calibri"/>
        <family val="2"/>
        <scheme val="minor"/>
      </rPr>
      <t>Zn</t>
    </r>
    <r>
      <rPr>
        <b/>
        <sz val="11"/>
        <rFont val="Calibri"/>
        <family val="2"/>
        <scheme val="minor"/>
      </rPr>
      <t xml:space="preserve"> Teórica Máx / ppm</t>
    </r>
  </si>
  <si>
    <t>CCu  Matraz digestión / ppm</t>
  </si>
  <si>
    <t>Capacidad ret mg/g alga seca</t>
  </si>
  <si>
    <t>Capacidad ret mg/alga seca</t>
  </si>
  <si>
    <t>Masa Cu Teórica / mg</t>
  </si>
  <si>
    <t>Masa Cu Retenida / mg</t>
  </si>
  <si>
    <t>% metal retenido</t>
  </si>
  <si>
    <t>Zn(II)</t>
  </si>
  <si>
    <t>CZn  Matraz digestión / ppm</t>
  </si>
  <si>
    <t>Masa Zn Teórica / mg</t>
  </si>
  <si>
    <t>Masa Zn Retenida / mg</t>
  </si>
  <si>
    <t>MA1</t>
  </si>
  <si>
    <t>MA2</t>
  </si>
  <si>
    <t>FA1</t>
  </si>
  <si>
    <t>FA2</t>
  </si>
  <si>
    <t>m Alga añadida total / g</t>
  </si>
  <si>
    <t>Alga seca añadida / g</t>
  </si>
  <si>
    <t>m Falcon + Alga seca / g</t>
  </si>
  <si>
    <t>Falcon tarado / g</t>
  </si>
  <si>
    <t>m biomasa final / g</t>
  </si>
  <si>
    <t>Volumen final / mL</t>
  </si>
  <si>
    <t>Microalga</t>
  </si>
  <si>
    <t>A1</t>
  </si>
  <si>
    <t>A2</t>
  </si>
  <si>
    <t>Fango aerobio</t>
  </si>
  <si>
    <t>F1</t>
  </si>
  <si>
    <t>F2</t>
  </si>
  <si>
    <t>m Falcon vacío/ g</t>
  </si>
  <si>
    <t xml:space="preserve">m Falcon biomasa húmeda/g </t>
  </si>
  <si>
    <t>m Falcon con biomasa seca / g</t>
  </si>
  <si>
    <t>m biomasa Seca</t>
  </si>
  <si>
    <t xml:space="preserve"> % secos</t>
  </si>
  <si>
    <t>FANGO</t>
  </si>
  <si>
    <t>Extractante</t>
  </si>
  <si>
    <t>Réplica</t>
  </si>
  <si>
    <t>Biomasa húmeda</t>
  </si>
  <si>
    <t>Biomasa seca</t>
  </si>
  <si>
    <t>Volumen final</t>
  </si>
  <si>
    <t>ICP-OES Cu (ppm)</t>
  </si>
  <si>
    <t>C Cu (mg/g)</t>
  </si>
  <si>
    <t>Promedios</t>
  </si>
  <si>
    <t>RSD %</t>
  </si>
  <si>
    <t>%</t>
  </si>
  <si>
    <r>
      <t>NH</t>
    </r>
    <r>
      <rPr>
        <b/>
        <vertAlign val="subscript"/>
        <sz val="12"/>
        <color rgb="FFFF0000"/>
        <rFont val="Calibri"/>
        <family val="2"/>
        <scheme val="minor"/>
      </rPr>
      <t>4</t>
    </r>
    <r>
      <rPr>
        <b/>
        <sz val="12"/>
        <color rgb="FFFF0000"/>
        <rFont val="Calibri"/>
        <family val="2"/>
        <scheme val="minor"/>
      </rPr>
      <t>AcO</t>
    </r>
  </si>
  <si>
    <t>HAcO</t>
  </si>
  <si>
    <t>AEDT</t>
  </si>
  <si>
    <r>
      <t>HNO</t>
    </r>
    <r>
      <rPr>
        <b/>
        <vertAlign val="subscript"/>
        <sz val="12"/>
        <color rgb="FF7030A0"/>
        <rFont val="Calibri"/>
        <family val="2"/>
        <scheme val="minor"/>
      </rPr>
      <t>3</t>
    </r>
    <r>
      <rPr>
        <b/>
        <sz val="12"/>
        <color rgb="FF7030A0"/>
        <rFont val="Calibri"/>
        <family val="2"/>
        <scheme val="minor"/>
      </rPr>
      <t xml:space="preserve"> </t>
    </r>
  </si>
  <si>
    <t>-</t>
  </si>
  <si>
    <t>ICP-OES Zn (ppm)</t>
  </si>
  <si>
    <t>C Zn (mg/g)</t>
  </si>
  <si>
    <t>CV %</t>
  </si>
  <si>
    <t>Ref. Muestra</t>
  </si>
  <si>
    <t>Cu 324.754</t>
  </si>
  <si>
    <t>Zn 213.857</t>
  </si>
  <si>
    <t>mg/l</t>
  </si>
  <si>
    <t>7. F-0,5-NH4-30mL</t>
  </si>
  <si>
    <t>8. F-0,5-HAcO-30mL</t>
  </si>
  <si>
    <t>9. F-0,5-AEDT-30mL</t>
  </si>
  <si>
    <t>10. F-0,5-NH4-40mL</t>
  </si>
  <si>
    <t>11. F-0,5-HAcO-40mL</t>
  </si>
  <si>
    <t>12. F-0,5-AEDT-40mL</t>
  </si>
  <si>
    <t>13. F-1-HAcO-30mL</t>
  </si>
  <si>
    <t>14. F-1-HAcO-40mL</t>
  </si>
  <si>
    <t>15. F-1-AEDT-30mL</t>
  </si>
  <si>
    <t>16. F-1-AEDT-40mL</t>
  </si>
  <si>
    <t>% Cu(II) extraido</t>
  </si>
  <si>
    <t>% Promedio</t>
  </si>
  <si>
    <t>Desviación</t>
  </si>
  <si>
    <t>A3</t>
  </si>
  <si>
    <t>R1</t>
  </si>
  <si>
    <t>R2</t>
  </si>
  <si>
    <t>R3</t>
  </si>
  <si>
    <t>NH4AcO</t>
  </si>
  <si>
    <t>% Zn(II) extraido</t>
  </si>
  <si>
    <t>% Cu(II)</t>
  </si>
  <si>
    <t>% Zn(II)</t>
  </si>
  <si>
    <t>C Zn (mg/g) - FA</t>
  </si>
  <si>
    <t>1. FA_NH4AcO-1</t>
  </si>
  <si>
    <t>2. FA_NH4AcO-2</t>
  </si>
  <si>
    <t>3. FA_HAcO-1</t>
  </si>
  <si>
    <t>4. FA_HAcO-2</t>
  </si>
  <si>
    <t>5. FA_AEDT-1</t>
  </si>
  <si>
    <t>6. FA_AEDT-2</t>
  </si>
  <si>
    <t>Condiciones de extracción</t>
  </si>
  <si>
    <t>Fracción</t>
  </si>
  <si>
    <t>Reactivos</t>
  </si>
  <si>
    <t>pH</t>
  </si>
  <si>
    <t>Tiempo (h)</t>
  </si>
  <si>
    <t>T(ºC)</t>
  </si>
  <si>
    <t>MA</t>
  </si>
  <si>
    <t>Intercambiable</t>
  </si>
  <si>
    <r>
      <t>0,1 M MgCl</t>
    </r>
    <r>
      <rPr>
        <vertAlign val="subscript"/>
        <sz val="11"/>
        <color theme="1"/>
        <rFont val="Cambria"/>
        <family val="1"/>
      </rPr>
      <t>2</t>
    </r>
  </si>
  <si>
    <t>rt</t>
  </si>
  <si>
    <t>Carbonates-bound fraction</t>
  </si>
  <si>
    <t>0,5 M NaAcO/HAcO</t>
  </si>
  <si>
    <t xml:space="preserve">m Falcon bio. húmeda/g </t>
  </si>
  <si>
    <t>Fe-Mn oxides bound fraction</t>
  </si>
  <si>
    <r>
      <t>0,1 M NH</t>
    </r>
    <r>
      <rPr>
        <vertAlign val="subscript"/>
        <sz val="11"/>
        <color theme="1"/>
        <rFont val="Cambria"/>
        <family val="1"/>
      </rPr>
      <t>2</t>
    </r>
    <r>
      <rPr>
        <sz val="11"/>
        <color theme="1"/>
        <rFont val="Cambria"/>
        <family val="1"/>
      </rPr>
      <t>OH · HCl</t>
    </r>
  </si>
  <si>
    <t>m Falcon con bio. seca / g</t>
  </si>
  <si>
    <t>Organic and sulfide bounds</t>
  </si>
  <si>
    <r>
      <t>30% H</t>
    </r>
    <r>
      <rPr>
        <vertAlign val="subscript"/>
        <sz val="11"/>
        <color theme="1"/>
        <rFont val="Cambria"/>
        <family val="1"/>
      </rPr>
      <t>2</t>
    </r>
    <r>
      <rPr>
        <sz val="11"/>
        <color theme="1"/>
        <rFont val="Cambria"/>
        <family val="1"/>
      </rPr>
      <t>O</t>
    </r>
    <r>
      <rPr>
        <vertAlign val="subscript"/>
        <sz val="11"/>
        <color theme="1"/>
        <rFont val="Cambria"/>
        <family val="1"/>
      </rPr>
      <t>2</t>
    </r>
    <r>
      <rPr>
        <sz val="11"/>
        <color theme="1"/>
        <rFont val="Cambria"/>
        <family val="1"/>
      </rPr>
      <t xml:space="preserve"> (w/v)</t>
    </r>
  </si>
  <si>
    <t>Digestión del residuo</t>
  </si>
  <si>
    <t>HNO3 cdo.</t>
  </si>
  <si>
    <t>Promedios (mg/g)</t>
  </si>
  <si>
    <r>
      <t>0,1 M MgCl</t>
    </r>
    <r>
      <rPr>
        <b/>
        <vertAlign val="subscript"/>
        <sz val="12"/>
        <color rgb="FF00B050"/>
        <rFont val="Calibri"/>
        <family val="2"/>
        <scheme val="minor"/>
      </rPr>
      <t>2</t>
    </r>
  </si>
  <si>
    <r>
      <t>0,1 M NH</t>
    </r>
    <r>
      <rPr>
        <b/>
        <vertAlign val="subscript"/>
        <sz val="12"/>
        <color rgb="FF00B0F0"/>
        <rFont val="Calibri"/>
        <family val="2"/>
        <scheme val="minor"/>
      </rPr>
      <t>2</t>
    </r>
    <r>
      <rPr>
        <b/>
        <sz val="12"/>
        <color rgb="FF00B0F0"/>
        <rFont val="Calibri"/>
        <family val="2"/>
        <scheme val="minor"/>
      </rPr>
      <t>OH · HCl</t>
    </r>
  </si>
  <si>
    <r>
      <t>30% H</t>
    </r>
    <r>
      <rPr>
        <b/>
        <vertAlign val="subscript"/>
        <sz val="12"/>
        <color rgb="FF7030A0"/>
        <rFont val="Calibri"/>
        <family val="2"/>
        <scheme val="minor"/>
      </rPr>
      <t>2</t>
    </r>
    <r>
      <rPr>
        <b/>
        <sz val="12"/>
        <color rgb="FF7030A0"/>
        <rFont val="Calibri"/>
        <family val="2"/>
        <scheme val="minor"/>
      </rPr>
      <t>O</t>
    </r>
    <r>
      <rPr>
        <b/>
        <vertAlign val="subscript"/>
        <sz val="12"/>
        <color rgb="FF7030A0"/>
        <rFont val="Calibri"/>
        <family val="2"/>
        <scheme val="minor"/>
      </rPr>
      <t>2</t>
    </r>
    <r>
      <rPr>
        <b/>
        <sz val="12"/>
        <color rgb="FF7030A0"/>
        <rFont val="Calibri"/>
        <family val="2"/>
        <scheme val="minor"/>
      </rPr>
      <t xml:space="preserve"> (w/v)</t>
    </r>
  </si>
  <si>
    <r>
      <t>HNO</t>
    </r>
    <r>
      <rPr>
        <b/>
        <vertAlign val="subscript"/>
        <sz val="12"/>
        <color rgb="FFFF0000"/>
        <rFont val="Calibri"/>
        <family val="2"/>
        <scheme val="minor"/>
      </rPr>
      <t>3</t>
    </r>
    <r>
      <rPr>
        <b/>
        <sz val="12"/>
        <color rgb="FFFF0000"/>
        <rFont val="Calibri"/>
        <family val="2"/>
        <scheme val="minor"/>
      </rPr>
      <t xml:space="preserve"> RESIDUO</t>
    </r>
  </si>
  <si>
    <r>
      <t>HNO</t>
    </r>
    <r>
      <rPr>
        <b/>
        <vertAlign val="subscript"/>
        <sz val="12"/>
        <color rgb="FFC00000"/>
        <rFont val="Calibri"/>
        <family val="2"/>
        <scheme val="minor"/>
      </rPr>
      <t>3</t>
    </r>
    <r>
      <rPr>
        <b/>
        <sz val="12"/>
        <color rgb="FFC00000"/>
        <rFont val="Calibri"/>
        <family val="2"/>
        <scheme val="minor"/>
      </rPr>
      <t xml:space="preserve"> TOTAL</t>
    </r>
  </si>
  <si>
    <t>Nº ref</t>
  </si>
  <si>
    <t>mg/L</t>
  </si>
  <si>
    <t>Biodisponible</t>
  </si>
  <si>
    <r>
      <t>1-E1 MgCl</t>
    </r>
    <r>
      <rPr>
        <vertAlign val="subscript"/>
        <sz val="11"/>
        <color rgb="FF000000"/>
        <rFont val="Calibri"/>
        <family val="2"/>
        <scheme val="minor"/>
      </rPr>
      <t>2</t>
    </r>
  </si>
  <si>
    <r>
      <t>2-E2 MgCl</t>
    </r>
    <r>
      <rPr>
        <vertAlign val="subscript"/>
        <sz val="11"/>
        <color rgb="FF000000"/>
        <rFont val="Calibri"/>
        <family val="2"/>
        <scheme val="minor"/>
      </rPr>
      <t>2</t>
    </r>
  </si>
  <si>
    <t>3-E1 HAcO</t>
  </si>
  <si>
    <t>4-E2 HAcO</t>
  </si>
  <si>
    <r>
      <t>5-E1 NH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OH</t>
    </r>
  </si>
  <si>
    <r>
      <t>6-E2 NH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OH</t>
    </r>
  </si>
  <si>
    <r>
      <t>7-E1 H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</si>
  <si>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r>
      <t>8-E2 H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O</t>
    </r>
    <r>
      <rPr>
        <vertAlign val="subscript"/>
        <sz val="11"/>
        <color rgb="FF000000"/>
        <rFont val="Calibri"/>
        <family val="2"/>
        <scheme val="minor"/>
      </rPr>
      <t>2</t>
    </r>
  </si>
  <si>
    <t xml:space="preserve">9-R1 </t>
  </si>
  <si>
    <t>er</t>
  </si>
  <si>
    <t>10-R2</t>
  </si>
  <si>
    <t>11-A1</t>
  </si>
  <si>
    <t>12-A2</t>
  </si>
  <si>
    <t>Zn (II)</t>
  </si>
  <si>
    <t>sumas replicas</t>
  </si>
  <si>
    <t>desvest. M</t>
  </si>
  <si>
    <t>Intervalo confianza</t>
  </si>
  <si>
    <t>Media %</t>
  </si>
  <si>
    <t>Total Digestion</t>
  </si>
  <si>
    <t>% Cu</t>
  </si>
  <si>
    <t>TOTAL (mg/g)</t>
  </si>
  <si>
    <t>% Zn</t>
  </si>
  <si>
    <t>Extractante FANGO</t>
  </si>
  <si>
    <t>Extractante MA</t>
  </si>
  <si>
    <t>FA</t>
  </si>
  <si>
    <t>0,5 M Acetate buffer</t>
  </si>
  <si>
    <t>Fraction</t>
  </si>
  <si>
    <t>Extractant</t>
  </si>
  <si>
    <t>Volume (mL)</t>
  </si>
  <si>
    <t>(digestion protocol in Material and Methods section)</t>
  </si>
  <si>
    <t>30% hydrogen peroxide</t>
  </si>
  <si>
    <t xml:space="preserve">69% Nitric acid </t>
  </si>
  <si>
    <t xml:space="preserve">0,1 M hydroxylamine hydrochloride </t>
  </si>
  <si>
    <t xml:space="preserve">0,1 M magnesium chloride </t>
  </si>
  <si>
    <t>Exchangable fraction (F1)</t>
  </si>
  <si>
    <t>Carbonates-bound fraction (F2)</t>
  </si>
  <si>
    <t>Fe-Mn oxides bound fraction (F3)</t>
  </si>
  <si>
    <t>Organic and sulfide bound fraction (F4)</t>
  </si>
  <si>
    <t>0,1 M acetic acid/acetate buffer</t>
  </si>
  <si>
    <t>Ammonium acetate</t>
  </si>
  <si>
    <t>Acetic acid</t>
  </si>
  <si>
    <t>EDTA</t>
  </si>
  <si>
    <t>Peptone</t>
  </si>
  <si>
    <t>Meat extract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</si>
</sst>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vertAlign val="subscript"/>
      <sz val="12"/>
      <color rgb="FFFF0000"/>
      <name val="Calibri"/>
      <family val="2"/>
      <scheme val="minor"/>
    </font>
    <font>
      <b/>
      <sz val="12"/>
      <color rgb="FFFF66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vertAlign val="subscript"/>
      <sz val="12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mbria"/>
      <family val="1"/>
    </font>
    <font>
      <vertAlign val="subscript"/>
      <sz val="11"/>
      <color theme="1"/>
      <name val="Cambria"/>
      <family val="1"/>
    </font>
    <font>
      <b/>
      <vertAlign val="subscript"/>
      <sz val="12"/>
      <color rgb="FF00B0F0"/>
      <name val="Calibri"/>
      <family val="2"/>
      <scheme val="minor"/>
    </font>
    <font>
      <b/>
      <vertAlign val="subscript"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vertAlign val="subscript"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C6EFCE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5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7" fillId="0" borderId="0" applyFont="0" applyFill="0" applyBorder="0" applyAlignment="0" applyProtection="0"/>
    <xf numFmtId="0" fontId="20" fillId="4" borderId="0" applyNumberFormat="0" applyBorder="0" applyAlignment="0" applyProtection="0"/>
    <xf numFmtId="0" fontId="7" fillId="5" borderId="0" applyNumberFormat="0" applyBorder="0" applyAlignment="0" applyProtection="0"/>
    <xf numFmtId="0" fontId="20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20" fillId="9" borderId="0" applyNumberFormat="0" applyBorder="0" applyAlignment="0" applyProtection="0"/>
    <xf numFmtId="0" fontId="4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56" applyNumberFormat="0" applyFont="0" applyAlignment="0" applyProtection="0"/>
    <xf numFmtId="0" fontId="7" fillId="21" borderId="0" applyNumberFormat="0" applyBorder="0" applyAlignment="0" applyProtection="0"/>
  </cellStyleXfs>
  <cellXfs count="350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10" fontId="12" fillId="0" borderId="0" xfId="0" applyNumberFormat="1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4" fillId="0" borderId="24" xfId="0" applyNumberFormat="1" applyFont="1" applyBorder="1" applyAlignment="1">
      <alignment horizontal="center" vertical="center"/>
    </xf>
    <xf numFmtId="2" fontId="14" fillId="0" borderId="25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2" fillId="8" borderId="28" xfId="6" applyFont="1" applyBorder="1" applyAlignment="1">
      <alignment horizontal="center"/>
    </xf>
    <xf numFmtId="0" fontId="2" fillId="8" borderId="29" xfId="6" applyFont="1" applyBorder="1" applyAlignment="1">
      <alignment horizontal="center"/>
    </xf>
    <xf numFmtId="0" fontId="18" fillId="10" borderId="30" xfId="0" applyFont="1" applyFill="1" applyBorder="1" applyAlignment="1">
      <alignment horizontal="center"/>
    </xf>
    <xf numFmtId="164" fontId="21" fillId="10" borderId="30" xfId="0" applyNumberFormat="1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/>
    </xf>
    <xf numFmtId="164" fontId="21" fillId="10" borderId="1" xfId="0" applyNumberFormat="1" applyFont="1" applyFill="1" applyBorder="1" applyAlignment="1">
      <alignment horizontal="center"/>
    </xf>
    <xf numFmtId="0" fontId="21" fillId="10" borderId="1" xfId="0" applyFont="1" applyFill="1" applyBorder="1" applyAlignment="1">
      <alignment horizontal="center"/>
    </xf>
    <xf numFmtId="0" fontId="18" fillId="10" borderId="19" xfId="0" applyFont="1" applyFill="1" applyBorder="1" applyAlignment="1">
      <alignment horizontal="center"/>
    </xf>
    <xf numFmtId="2" fontId="18" fillId="10" borderId="19" xfId="0" applyNumberFormat="1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166" fontId="18" fillId="10" borderId="1" xfId="0" applyNumberFormat="1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2" fontId="7" fillId="5" borderId="1" xfId="3" applyNumberFormat="1" applyBorder="1" applyAlignment="1">
      <alignment horizontal="center"/>
    </xf>
    <xf numFmtId="2" fontId="1" fillId="5" borderId="1" xfId="3" applyNumberFormat="1" applyFont="1" applyBorder="1" applyAlignment="1">
      <alignment horizontal="center"/>
    </xf>
    <xf numFmtId="10" fontId="12" fillId="0" borderId="0" xfId="0" applyNumberFormat="1" applyFont="1" applyAlignment="1">
      <alignment horizontal="center" vertical="center"/>
    </xf>
    <xf numFmtId="2" fontId="24" fillId="11" borderId="20" xfId="7" applyNumberFormat="1" applyFont="1" applyFill="1" applyBorder="1" applyAlignment="1">
      <alignment horizontal="center"/>
    </xf>
    <xf numFmtId="2" fontId="2" fillId="11" borderId="28" xfId="0" applyNumberFormat="1" applyFont="1" applyFill="1" applyBorder="1" applyAlignment="1">
      <alignment horizontal="center" vertical="center"/>
    </xf>
    <xf numFmtId="2" fontId="2" fillId="11" borderId="31" xfId="0" applyNumberFormat="1" applyFont="1" applyFill="1" applyBorder="1" applyAlignment="1">
      <alignment horizontal="center" vertical="center"/>
    </xf>
    <xf numFmtId="165" fontId="2" fillId="11" borderId="28" xfId="0" applyNumberFormat="1" applyFont="1" applyFill="1" applyBorder="1" applyAlignment="1">
      <alignment horizontal="center"/>
    </xf>
    <xf numFmtId="165" fontId="2" fillId="11" borderId="31" xfId="0" applyNumberFormat="1" applyFont="1" applyFill="1" applyBorder="1" applyAlignment="1">
      <alignment horizontal="center"/>
    </xf>
    <xf numFmtId="0" fontId="18" fillId="13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2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2" fillId="13" borderId="28" xfId="6" applyFont="1" applyFill="1" applyBorder="1" applyAlignment="1">
      <alignment horizontal="center"/>
    </xf>
    <xf numFmtId="0" fontId="2" fillId="13" borderId="29" xfId="6" applyFont="1" applyFill="1" applyBorder="1" applyAlignment="1">
      <alignment horizontal="center"/>
    </xf>
    <xf numFmtId="0" fontId="19" fillId="4" borderId="30" xfId="2" applyFont="1" applyBorder="1" applyAlignment="1">
      <alignment horizontal="center"/>
    </xf>
    <xf numFmtId="2" fontId="19" fillId="4" borderId="30" xfId="2" applyNumberFormat="1" applyFont="1" applyBorder="1" applyAlignment="1">
      <alignment horizontal="center"/>
    </xf>
    <xf numFmtId="0" fontId="19" fillId="4" borderId="1" xfId="2" applyFont="1" applyBorder="1" applyAlignment="1">
      <alignment horizontal="center"/>
    </xf>
    <xf numFmtId="166" fontId="19" fillId="4" borderId="1" xfId="2" applyNumberFormat="1" applyFont="1" applyBorder="1" applyAlignment="1">
      <alignment horizontal="center"/>
    </xf>
    <xf numFmtId="0" fontId="28" fillId="15" borderId="30" xfId="4" applyFont="1" applyFill="1" applyBorder="1" applyAlignment="1">
      <alignment horizontal="center"/>
    </xf>
    <xf numFmtId="2" fontId="29" fillId="15" borderId="30" xfId="4" applyNumberFormat="1" applyFont="1" applyFill="1" applyBorder="1" applyAlignment="1">
      <alignment horizontal="center"/>
    </xf>
    <xf numFmtId="0" fontId="28" fillId="15" borderId="1" xfId="5" applyFont="1" applyFill="1" applyBorder="1" applyAlignment="1">
      <alignment horizontal="center"/>
    </xf>
    <xf numFmtId="166" fontId="29" fillId="15" borderId="1" xfId="5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 vertical="center"/>
    </xf>
    <xf numFmtId="2" fontId="34" fillId="0" borderId="5" xfId="0" applyNumberFormat="1" applyFont="1" applyBorder="1" applyAlignment="1">
      <alignment horizontal="center" vertical="center"/>
    </xf>
    <xf numFmtId="2" fontId="34" fillId="0" borderId="7" xfId="0" applyNumberFormat="1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0" fillId="0" borderId="39" xfId="0" applyBorder="1" applyAlignment="1">
      <alignment horizontal="center"/>
    </xf>
    <xf numFmtId="0" fontId="1" fillId="12" borderId="34" xfId="0" applyFont="1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0" fillId="12" borderId="41" xfId="0" applyFill="1" applyBorder="1" applyAlignment="1">
      <alignment horizontal="center" vertical="center"/>
    </xf>
    <xf numFmtId="0" fontId="0" fillId="12" borderId="4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12" borderId="3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2" fontId="12" fillId="0" borderId="24" xfId="0" applyNumberFormat="1" applyFont="1" applyBorder="1" applyAlignment="1">
      <alignment horizontal="center" vertical="center"/>
    </xf>
    <xf numFmtId="2" fontId="12" fillId="0" borderId="43" xfId="0" applyNumberFormat="1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2" fontId="15" fillId="0" borderId="24" xfId="0" applyNumberFormat="1" applyFont="1" applyBorder="1" applyAlignment="1">
      <alignment horizontal="center" vertical="center"/>
    </xf>
    <xf numFmtId="2" fontId="15" fillId="0" borderId="43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2" fontId="14" fillId="0" borderId="50" xfId="0" applyNumberFormat="1" applyFont="1" applyBorder="1" applyAlignment="1">
      <alignment horizontal="center" vertical="center"/>
    </xf>
    <xf numFmtId="2" fontId="34" fillId="0" borderId="10" xfId="0" applyNumberFormat="1" applyFont="1" applyBorder="1" applyAlignment="1">
      <alignment horizontal="center" vertical="center"/>
    </xf>
    <xf numFmtId="0" fontId="0" fillId="0" borderId="4" xfId="0" applyBorder="1"/>
    <xf numFmtId="2" fontId="0" fillId="0" borderId="5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37" fillId="0" borderId="24" xfId="0" applyNumberFormat="1" applyFont="1" applyBorder="1" applyAlignment="1">
      <alignment horizontal="center" vertical="center"/>
    </xf>
    <xf numFmtId="2" fontId="37" fillId="0" borderId="25" xfId="0" applyNumberFormat="1" applyFont="1" applyBorder="1" applyAlignment="1">
      <alignment horizontal="center" vertical="center"/>
    </xf>
    <xf numFmtId="2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12" fillId="0" borderId="26" xfId="0" applyNumberFormat="1" applyFont="1" applyBorder="1" applyAlignment="1">
      <alignment horizontal="center" vertic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9" xfId="0" applyBorder="1"/>
    <xf numFmtId="164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0" fontId="0" fillId="0" borderId="0" xfId="0" applyNumberFormat="1"/>
    <xf numFmtId="0" fontId="38" fillId="16" borderId="14" xfId="0" applyFont="1" applyFill="1" applyBorder="1" applyAlignment="1">
      <alignment horizontal="center" vertical="center"/>
    </xf>
    <xf numFmtId="0" fontId="38" fillId="16" borderId="34" xfId="0" applyFont="1" applyFill="1" applyBorder="1" applyAlignment="1">
      <alignment horizontal="center"/>
    </xf>
    <xf numFmtId="0" fontId="38" fillId="16" borderId="35" xfId="0" applyFont="1" applyFill="1" applyBorder="1" applyAlignment="1">
      <alignment horizontal="center"/>
    </xf>
    <xf numFmtId="0" fontId="38" fillId="16" borderId="41" xfId="0" applyFont="1" applyFill="1" applyBorder="1" applyAlignment="1">
      <alignment horizontal="center"/>
    </xf>
    <xf numFmtId="0" fontId="38" fillId="16" borderId="42" xfId="0" applyFont="1" applyFill="1" applyBorder="1" applyAlignment="1">
      <alignment horizontal="center"/>
    </xf>
    <xf numFmtId="0" fontId="39" fillId="0" borderId="2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8" fillId="16" borderId="40" xfId="0" applyFont="1" applyFill="1" applyBorder="1" applyAlignment="1">
      <alignment horizontal="center" vertical="center"/>
    </xf>
    <xf numFmtId="2" fontId="34" fillId="0" borderId="24" xfId="0" applyNumberFormat="1" applyFont="1" applyBorder="1" applyAlignment="1">
      <alignment horizontal="center" vertical="center"/>
    </xf>
    <xf numFmtId="2" fontId="34" fillId="0" borderId="25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5" fillId="0" borderId="25" xfId="0" applyNumberFormat="1" applyFont="1" applyBorder="1" applyAlignment="1">
      <alignment horizontal="center" vertical="center"/>
    </xf>
    <xf numFmtId="2" fontId="14" fillId="0" borderId="55" xfId="0" applyNumberFormat="1" applyFont="1" applyBorder="1" applyAlignment="1">
      <alignment horizontal="center" vertical="center"/>
    </xf>
    <xf numFmtId="2" fontId="12" fillId="0" borderId="55" xfId="0" applyNumberFormat="1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2" fillId="0" borderId="36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/>
    </xf>
    <xf numFmtId="2" fontId="15" fillId="0" borderId="36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/>
    </xf>
    <xf numFmtId="0" fontId="1" fillId="18" borderId="0" xfId="9" applyFont="1" applyAlignment="1">
      <alignment horizontal="center" vertical="center"/>
    </xf>
    <xf numFmtId="0" fontId="41" fillId="17" borderId="0" xfId="8" applyAlignment="1">
      <alignment horizontal="center" vertical="center"/>
    </xf>
    <xf numFmtId="0" fontId="42" fillId="17" borderId="0" xfId="8" applyFont="1" applyAlignment="1">
      <alignment horizontal="center" vertical="center"/>
    </xf>
    <xf numFmtId="164" fontId="42" fillId="17" borderId="0" xfId="8" applyNumberFormat="1" applyFont="1" applyAlignment="1">
      <alignment horizontal="center" vertical="center"/>
    </xf>
    <xf numFmtId="164" fontId="41" fillId="17" borderId="0" xfId="8" applyNumberFormat="1" applyAlignment="1">
      <alignment horizontal="center" vertical="center"/>
    </xf>
    <xf numFmtId="2" fontId="2" fillId="19" borderId="0" xfId="10" applyNumberFormat="1" applyFont="1" applyAlignment="1">
      <alignment horizontal="center" vertical="center"/>
    </xf>
    <xf numFmtId="165" fontId="21" fillId="10" borderId="30" xfId="0" applyNumberFormat="1" applyFont="1" applyFill="1" applyBorder="1" applyAlignment="1">
      <alignment horizontal="center"/>
    </xf>
    <xf numFmtId="0" fontId="7" fillId="21" borderId="1" xfId="12" applyBorder="1" applyAlignment="1">
      <alignment horizontal="center"/>
    </xf>
    <xf numFmtId="0" fontId="44" fillId="17" borderId="1" xfId="8" applyFont="1" applyBorder="1" applyAlignment="1">
      <alignment horizontal="center" vertical="center"/>
    </xf>
    <xf numFmtId="2" fontId="44" fillId="17" borderId="1" xfId="8" applyNumberFormat="1" applyFont="1" applyBorder="1" applyAlignment="1">
      <alignment horizontal="center" vertical="center"/>
    </xf>
    <xf numFmtId="2" fontId="7" fillId="21" borderId="1" xfId="12" applyNumberFormat="1" applyBorder="1" applyAlignment="1">
      <alignment horizontal="center" vertical="center"/>
    </xf>
    <xf numFmtId="0" fontId="1" fillId="21" borderId="1" xfId="12" applyFont="1" applyBorder="1" applyAlignment="1">
      <alignment horizontal="center"/>
    </xf>
    <xf numFmtId="2" fontId="1" fillId="21" borderId="1" xfId="12" applyNumberFormat="1" applyFont="1" applyBorder="1" applyAlignment="1">
      <alignment horizontal="center" vertical="center"/>
    </xf>
    <xf numFmtId="0" fontId="43" fillId="20" borderId="56" xfId="11" applyFont="1" applyAlignment="1">
      <alignment horizontal="center"/>
    </xf>
    <xf numFmtId="0" fontId="42" fillId="17" borderId="1" xfId="8" applyFont="1" applyBorder="1" applyAlignment="1">
      <alignment horizontal="center" vertical="center"/>
    </xf>
    <xf numFmtId="2" fontId="42" fillId="17" borderId="56" xfId="8" applyNumberFormat="1" applyFont="1" applyBorder="1" applyAlignment="1">
      <alignment horizontal="center"/>
    </xf>
    <xf numFmtId="2" fontId="42" fillId="17" borderId="1" xfId="8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44" fillId="17" borderId="1" xfId="8" applyNumberFormat="1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2" fillId="14" borderId="0" xfId="0" applyFont="1" applyFill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2" fontId="14" fillId="0" borderId="13" xfId="0" applyNumberFormat="1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2" fontId="13" fillId="0" borderId="35" xfId="0" applyNumberFormat="1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15" fillId="0" borderId="35" xfId="0" applyNumberFormat="1" applyFont="1" applyBorder="1" applyAlignment="1">
      <alignment horizontal="center" vertical="center"/>
    </xf>
    <xf numFmtId="2" fontId="15" fillId="0" borderId="36" xfId="0" applyNumberFormat="1" applyFont="1" applyBorder="1" applyAlignment="1">
      <alignment horizontal="center" vertical="center"/>
    </xf>
    <xf numFmtId="2" fontId="15" fillId="0" borderId="38" xfId="0" applyNumberFormat="1" applyFont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1" fillId="12" borderId="4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2" fontId="12" fillId="0" borderId="35" xfId="0" applyNumberFormat="1" applyFont="1" applyBorder="1" applyAlignment="1">
      <alignment horizontal="center" vertical="center"/>
    </xf>
    <xf numFmtId="2" fontId="12" fillId="0" borderId="36" xfId="0" applyNumberFormat="1" applyFont="1" applyBorder="1" applyAlignment="1">
      <alignment horizontal="center" vertical="center"/>
    </xf>
    <xf numFmtId="2" fontId="12" fillId="0" borderId="38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2" fontId="37" fillId="0" borderId="35" xfId="0" applyNumberFormat="1" applyFont="1" applyBorder="1" applyAlignment="1">
      <alignment horizontal="center" vertical="center"/>
    </xf>
    <xf numFmtId="2" fontId="37" fillId="0" borderId="38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 vertical="center"/>
    </xf>
    <xf numFmtId="2" fontId="34" fillId="0" borderId="12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7" fillId="0" borderId="13" xfId="0" applyNumberFormat="1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2" fontId="14" fillId="0" borderId="35" xfId="0" applyNumberFormat="1" applyFont="1" applyBorder="1" applyAlignment="1">
      <alignment horizontal="center" vertical="center"/>
    </xf>
    <xf numFmtId="2" fontId="14" fillId="0" borderId="38" xfId="0" applyNumberFormat="1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2" fontId="34" fillId="0" borderId="35" xfId="0" applyNumberFormat="1" applyFont="1" applyBorder="1" applyAlignment="1">
      <alignment horizontal="center" vertical="center"/>
    </xf>
    <xf numFmtId="2" fontId="34" fillId="0" borderId="36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</cellXfs>
  <cellStyles count="13">
    <cellStyle name="20% - Énfasis1" xfId="3" builtinId="30"/>
    <cellStyle name="20% - Énfasis4" xfId="12" builtinId="42"/>
    <cellStyle name="40% - Énfasis2" xfId="5" builtinId="35"/>
    <cellStyle name="60% - Énfasis2" xfId="6" builtinId="36"/>
    <cellStyle name="60% - Énfasis4" xfId="9" builtinId="44"/>
    <cellStyle name="60% - Énfasis5" xfId="10" builtinId="48"/>
    <cellStyle name="Bueno" xfId="8" builtinId="26"/>
    <cellStyle name="Énfasis1" xfId="2" builtinId="29"/>
    <cellStyle name="Énfasis2" xfId="4" builtinId="33"/>
    <cellStyle name="Énfasis6" xfId="7" builtinId="49"/>
    <cellStyle name="Normal" xfId="0" builtinId="0"/>
    <cellStyle name="Notas" xfId="11" builtinId="10"/>
    <cellStyle name="Porcentaje" xfId="1" builtinId="5"/>
  </cellStyles>
  <dxfs count="0"/>
  <tableStyles count="0" defaultTableStyle="TableStyleMedium2" defaultPivotStyle="PivotStyleLight16"/>
  <colors>
    <mruColors>
      <color rgb="FFBC8EDE"/>
      <color rgb="FFA568D2"/>
      <color rgb="FFF9F96B"/>
      <color rgb="FF66FFCC"/>
      <color rgb="FFFFCC66"/>
      <color rgb="FFFF9999"/>
      <color rgb="FF66FF99"/>
      <color rgb="FFE84A30"/>
      <color rgb="FFFF3333"/>
      <color rgb="FFF580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Scenedesmus Almeriensis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5478211572946"/>
          <c:y val="0.13008551514086569"/>
          <c:w val="0.81208613651205208"/>
          <c:h val="0.63801543372576586"/>
        </c:manualLayout>
      </c:layout>
      <c:barChart>
        <c:barDir val="col"/>
        <c:grouping val="stacked"/>
        <c:varyColors val="0"/>
        <c:ser>
          <c:idx val="0"/>
          <c:order val="0"/>
          <c:tx>
            <c:v>Cu(II)</c:v>
          </c:tx>
          <c:spPr>
            <a:solidFill>
              <a:srgbClr val="FFC000"/>
            </a:solidFill>
            <a:ln>
              <a:solidFill>
                <a:schemeClr val="accent1">
                  <a:alpha val="81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FF99"/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45-4F43-9A05-B8464829FA05}"/>
              </c:ext>
            </c:extLst>
          </c:dPt>
          <c:dPt>
            <c:idx val="3"/>
            <c:invertIfNegative val="0"/>
            <c:bubble3D val="0"/>
            <c:spPr>
              <a:solidFill>
                <a:srgbClr val="66FF99"/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E45-4F43-9A05-B8464829FA05}"/>
              </c:ext>
            </c:extLst>
          </c:dPt>
          <c:dPt>
            <c:idx val="6"/>
            <c:invertIfNegative val="0"/>
            <c:bubble3D val="0"/>
            <c:spPr>
              <a:solidFill>
                <a:srgbClr val="66FF99"/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E45-4F43-9A05-B8464829FA0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4E45-4F43-9A05-B8464829FA0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4E45-4F43-9A05-B8464829FA05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4E45-4F43-9A05-B8464829FA05}"/>
              </c:ext>
            </c:extLst>
          </c:dPt>
          <c:dLbls>
            <c:dLbl>
              <c:idx val="0"/>
              <c:numFmt formatCode="#,##0.00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569335083114617E-2"/>
                      <c:h val="3.6967774861475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E45-4F43-9A05-B8464829FA05}"/>
                </c:ext>
              </c:extLst>
            </c:dLbl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'Extracciones simples. Fango'!$I$49:$I$68</c:f>
                <c:numCache>
                  <c:formatCode>General</c:formatCode>
                  <c:ptCount val="20"/>
                  <c:pt idx="0">
                    <c:v>0.38589364804708876</c:v>
                  </c:pt>
                  <c:pt idx="3">
                    <c:v>2.0860151354611021</c:v>
                  </c:pt>
                  <c:pt idx="6">
                    <c:v>2.6470985206898465</c:v>
                  </c:pt>
                  <c:pt idx="11">
                    <c:v>2.8016391112978125</c:v>
                  </c:pt>
                  <c:pt idx="14">
                    <c:v>1.5671523069327546</c:v>
                  </c:pt>
                  <c:pt idx="17">
                    <c:v>3.0421309289255585</c:v>
                  </c:pt>
                </c:numCache>
              </c:numRef>
            </c:plus>
            <c:minus>
              <c:numRef>
                <c:f>'Extracciones simples. Microalga'!$I$49:$I$68</c:f>
                <c:numCache>
                  <c:formatCode>General</c:formatCode>
                  <c:ptCount val="20"/>
                  <c:pt idx="0">
                    <c:v>2.2147186777917254</c:v>
                  </c:pt>
                  <c:pt idx="3">
                    <c:v>4.8016998695063116</c:v>
                  </c:pt>
                  <c:pt idx="6">
                    <c:v>1.245990973097131</c:v>
                  </c:pt>
                  <c:pt idx="11">
                    <c:v>4.1645574987922496</c:v>
                  </c:pt>
                  <c:pt idx="14">
                    <c:v>5.2889741584896575</c:v>
                  </c:pt>
                  <c:pt idx="17">
                    <c:v>1.6932713005062827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'Extracciones simples. Microalga'!$F$49:$F$68</c:f>
              <c:strCache>
                <c:ptCount val="18"/>
                <c:pt idx="0">
                  <c:v>NH4AcO</c:v>
                </c:pt>
                <c:pt idx="3">
                  <c:v>HAcO</c:v>
                </c:pt>
                <c:pt idx="6">
                  <c:v>AEDT</c:v>
                </c:pt>
                <c:pt idx="11">
                  <c:v>NH4AcO</c:v>
                </c:pt>
                <c:pt idx="14">
                  <c:v>HAcO</c:v>
                </c:pt>
                <c:pt idx="17">
                  <c:v>AEDT</c:v>
                </c:pt>
              </c:strCache>
            </c:strRef>
          </c:cat>
          <c:val>
            <c:numRef>
              <c:f>'Extracciones simples. Microalga'!$G$49:$G$68</c:f>
              <c:numCache>
                <c:formatCode>0.000</c:formatCode>
                <c:ptCount val="20"/>
                <c:pt idx="0">
                  <c:v>12.5094246062542</c:v>
                </c:pt>
                <c:pt idx="3">
                  <c:v>76.258257998853608</c:v>
                </c:pt>
                <c:pt idx="6">
                  <c:v>66.432058487063117</c:v>
                </c:pt>
                <c:pt idx="11">
                  <c:v>39.254703383625525</c:v>
                </c:pt>
                <c:pt idx="14">
                  <c:v>96.767980467537512</c:v>
                </c:pt>
                <c:pt idx="17">
                  <c:v>77.417506896825756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5-4F43-9A05-B8464829F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7342720"/>
        <c:axId val="717346464"/>
      </c:barChart>
      <c:catAx>
        <c:axId val="717342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Cu(II)</a:t>
                </a:r>
                <a:r>
                  <a:rPr lang="en-US" b="1" baseline="0"/>
                  <a:t>                                                                      Zn(II)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26980703780810827"/>
              <c:y val="0.903848181338956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346464"/>
        <c:crosses val="autoZero"/>
        <c:auto val="1"/>
        <c:lblAlgn val="ctr"/>
        <c:lblOffset val="100"/>
        <c:noMultiLvlLbl val="0"/>
      </c:catAx>
      <c:valAx>
        <c:axId val="717346464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Extraction factor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34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Activated sludge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5478211572946"/>
          <c:y val="0.13008551514086569"/>
          <c:w val="0.81208613651205208"/>
          <c:h val="0.63801543372576586"/>
        </c:manualLayout>
      </c:layout>
      <c:barChart>
        <c:barDir val="col"/>
        <c:grouping val="stacked"/>
        <c:varyColors val="0"/>
        <c:ser>
          <c:idx val="0"/>
          <c:order val="0"/>
          <c:tx>
            <c:v>Cu(II)</c:v>
          </c:tx>
          <c:spPr>
            <a:solidFill>
              <a:srgbClr val="FFC000"/>
            </a:solidFill>
            <a:ln>
              <a:solidFill>
                <a:schemeClr val="accent1">
                  <a:alpha val="81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FF99"/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02-46F9-8BD0-BC39659C41B2}"/>
              </c:ext>
            </c:extLst>
          </c:dPt>
          <c:dPt>
            <c:idx val="3"/>
            <c:invertIfNegative val="0"/>
            <c:bubble3D val="0"/>
            <c:spPr>
              <a:solidFill>
                <a:srgbClr val="66FF99"/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02-46F9-8BD0-BC39659C41B2}"/>
              </c:ext>
            </c:extLst>
          </c:dPt>
          <c:dPt>
            <c:idx val="6"/>
            <c:invertIfNegative val="0"/>
            <c:bubble3D val="0"/>
            <c:spPr>
              <a:solidFill>
                <a:srgbClr val="66FF99"/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02-46F9-8BD0-BC39659C41B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02-46F9-8BD0-BC39659C41B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302-46F9-8BD0-BC39659C41B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1">
                    <a:alpha val="81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02-46F9-8BD0-BC39659C41B2}"/>
              </c:ext>
            </c:extLst>
          </c:dPt>
          <c:dLbls>
            <c:dLbl>
              <c:idx val="0"/>
              <c:layout>
                <c:manualLayout>
                  <c:x val="0"/>
                  <c:y val="-5.648331333191507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402145883130824E-2"/>
                      <c:h val="6.52093181159479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302-46F9-8BD0-BC39659C41B2}"/>
                </c:ext>
              </c:extLst>
            </c:dLbl>
            <c:dLbl>
              <c:idx val="11"/>
              <c:numFmt formatCode="#,##0.00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668257482802846E-2"/>
                      <c:h val="5.170595172529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302-46F9-8BD0-BC39659C41B2}"/>
                </c:ext>
              </c:extLst>
            </c:dLbl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'Extracciones simples. Microalga'!$I$49:$I$68</c:f>
                <c:numCache>
                  <c:formatCode>General</c:formatCode>
                  <c:ptCount val="20"/>
                  <c:pt idx="0">
                    <c:v>2.2147186777917254</c:v>
                  </c:pt>
                  <c:pt idx="3">
                    <c:v>4.8016998695063116</c:v>
                  </c:pt>
                  <c:pt idx="6">
                    <c:v>1.245990973097131</c:v>
                  </c:pt>
                  <c:pt idx="11">
                    <c:v>4.1645574987922496</c:v>
                  </c:pt>
                  <c:pt idx="14">
                    <c:v>5.2889741584896575</c:v>
                  </c:pt>
                  <c:pt idx="17">
                    <c:v>1.6932713005062827</c:v>
                  </c:pt>
                </c:numCache>
              </c:numRef>
            </c:plus>
            <c:minus>
              <c:numRef>
                <c:f>'Extracciones simples. Microalga'!$I$49:$I$68</c:f>
                <c:numCache>
                  <c:formatCode>General</c:formatCode>
                  <c:ptCount val="20"/>
                  <c:pt idx="0">
                    <c:v>2.2147186777917254</c:v>
                  </c:pt>
                  <c:pt idx="3">
                    <c:v>4.8016998695063116</c:v>
                  </c:pt>
                  <c:pt idx="6">
                    <c:v>1.245990973097131</c:v>
                  </c:pt>
                  <c:pt idx="11">
                    <c:v>4.1645574987922496</c:v>
                  </c:pt>
                  <c:pt idx="14">
                    <c:v>5.2889741584896575</c:v>
                  </c:pt>
                  <c:pt idx="17">
                    <c:v>1.6932713005062827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'Extracciones simples. Microalga'!$F$49:$F$68</c:f>
              <c:strCache>
                <c:ptCount val="18"/>
                <c:pt idx="0">
                  <c:v>NH4AcO</c:v>
                </c:pt>
                <c:pt idx="3">
                  <c:v>HAcO</c:v>
                </c:pt>
                <c:pt idx="6">
                  <c:v>AEDT</c:v>
                </c:pt>
                <c:pt idx="11">
                  <c:v>NH4AcO</c:v>
                </c:pt>
                <c:pt idx="14">
                  <c:v>HAcO</c:v>
                </c:pt>
                <c:pt idx="17">
                  <c:v>AEDT</c:v>
                </c:pt>
              </c:strCache>
            </c:strRef>
          </c:cat>
          <c:val>
            <c:numRef>
              <c:f>'Extracciones simples. Fango'!$G$49:$G$68</c:f>
              <c:numCache>
                <c:formatCode>0.000</c:formatCode>
                <c:ptCount val="20"/>
                <c:pt idx="0">
                  <c:v>5.7883035807542464</c:v>
                </c:pt>
                <c:pt idx="3">
                  <c:v>55.373790870405038</c:v>
                </c:pt>
                <c:pt idx="6">
                  <c:v>67.222317965315398</c:v>
                </c:pt>
                <c:pt idx="11">
                  <c:v>14.318149750760689</c:v>
                </c:pt>
                <c:pt idx="14">
                  <c:v>105.05802340463988</c:v>
                </c:pt>
                <c:pt idx="17">
                  <c:v>81.402100182415253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02-46F9-8BD0-BC39659C4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7342720"/>
        <c:axId val="717346464"/>
      </c:barChart>
      <c:catAx>
        <c:axId val="717342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Cu(II)</a:t>
                </a:r>
                <a:r>
                  <a:rPr lang="en-US" b="1" baseline="0"/>
                  <a:t>                                                                      Zn(II)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26980703780810827"/>
              <c:y val="0.903848181338956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346464"/>
        <c:crosses val="autoZero"/>
        <c:auto val="1"/>
        <c:lblAlgn val="ctr"/>
        <c:lblOffset val="100"/>
        <c:noMultiLvlLbl val="0"/>
      </c:catAx>
      <c:valAx>
        <c:axId val="717346464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Extraction factor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34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Extracción secuencial Scenedesmus</a:t>
            </a:r>
            <a:r>
              <a:rPr lang="en-US" baseline="0"/>
              <a:t> Almeriensis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'Extracción secuencial MA REP'!$B$40</c:f>
              <c:strCache>
                <c:ptCount val="1"/>
                <c:pt idx="0">
                  <c:v>0,1 M MgCl2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'Extracción secuencial MA REP'!$C$39:$D$39</c:f>
              <c:strCache>
                <c:ptCount val="2"/>
                <c:pt idx="0">
                  <c:v>Cu(II)</c:v>
                </c:pt>
                <c:pt idx="1">
                  <c:v>Zn(II)</c:v>
                </c:pt>
              </c:strCache>
            </c:strRef>
          </c:cat>
          <c:val>
            <c:numRef>
              <c:f>'Extracción secuencial MA REP'!$C$40:$D$40</c:f>
              <c:numCache>
                <c:formatCode>0.00</c:formatCode>
                <c:ptCount val="2"/>
                <c:pt idx="0">
                  <c:v>29.557819742460374</c:v>
                </c:pt>
                <c:pt idx="1">
                  <c:v>69.941690834649322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B-473E-9226-E032691F4BE8}"/>
            </c:ext>
          </c:extLst>
        </c:ser>
        <c:ser>
          <c:idx val="2"/>
          <c:order val="2"/>
          <c:tx>
            <c:strRef>
              <c:f>'Extracción secuencial MA REP'!$B$42</c:f>
              <c:strCache>
                <c:ptCount val="1"/>
                <c:pt idx="0">
                  <c:v>0,5 M NaAcO/HAcO</c:v>
                </c:pt>
              </c:strCache>
            </c:strRef>
          </c:tx>
          <c:spPr>
            <a:solidFill>
              <a:srgbClr val="F5800B"/>
            </a:solidFill>
            <a:ln>
              <a:noFill/>
            </a:ln>
            <a:effectLst/>
          </c:spPr>
          <c:invertIfNegative val="0"/>
          <c:cat>
            <c:strRef>
              <c:f>'Extracción secuencial MA REP'!$C$39:$D$39</c:f>
              <c:strCache>
                <c:ptCount val="2"/>
                <c:pt idx="0">
                  <c:v>Cu(II)</c:v>
                </c:pt>
                <c:pt idx="1">
                  <c:v>Zn(II)</c:v>
                </c:pt>
              </c:strCache>
            </c:strRef>
          </c:cat>
          <c:val>
            <c:numRef>
              <c:f>'Extracción secuencial MA REP'!$C$42:$D$42</c:f>
              <c:numCache>
                <c:formatCode>0.00</c:formatCode>
                <c:ptCount val="2"/>
                <c:pt idx="0">
                  <c:v>39.112952369518965</c:v>
                </c:pt>
                <c:pt idx="1">
                  <c:v>24.511449624733775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B-473E-9226-E032691F4BE8}"/>
            </c:ext>
          </c:extLst>
        </c:ser>
        <c:ser>
          <c:idx val="4"/>
          <c:order val="4"/>
          <c:tx>
            <c:strRef>
              <c:f>'Extracción secuencial MA REP'!$B$44</c:f>
              <c:strCache>
                <c:ptCount val="1"/>
                <c:pt idx="0">
                  <c:v>0,1 M NH2OH · HCl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'Extracción secuencial MA REP'!$C$39:$D$39</c:f>
              <c:strCache>
                <c:ptCount val="2"/>
                <c:pt idx="0">
                  <c:v>Cu(II)</c:v>
                </c:pt>
                <c:pt idx="1">
                  <c:v>Zn(II)</c:v>
                </c:pt>
              </c:strCache>
            </c:strRef>
          </c:cat>
          <c:val>
            <c:numRef>
              <c:f>'Extracción secuencial MA REP'!$C$44:$D$44</c:f>
              <c:numCache>
                <c:formatCode>0.00</c:formatCode>
                <c:ptCount val="2"/>
                <c:pt idx="0">
                  <c:v>2.1245303734116745</c:v>
                </c:pt>
                <c:pt idx="1">
                  <c:v>2.7597162751992266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3B-473E-9226-E032691F4BE8}"/>
            </c:ext>
          </c:extLst>
        </c:ser>
        <c:ser>
          <c:idx val="6"/>
          <c:order val="6"/>
          <c:tx>
            <c:strRef>
              <c:f>'Extracción secuencial MA REP'!$B$46</c:f>
              <c:strCache>
                <c:ptCount val="1"/>
                <c:pt idx="0">
                  <c:v>30% H2O2 (w/v)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'Extracción secuencial MA REP'!$C$39:$D$39</c:f>
              <c:strCache>
                <c:ptCount val="2"/>
                <c:pt idx="0">
                  <c:v>Cu(II)</c:v>
                </c:pt>
                <c:pt idx="1">
                  <c:v>Zn(II)</c:v>
                </c:pt>
              </c:strCache>
            </c:strRef>
          </c:cat>
          <c:val>
            <c:numRef>
              <c:f>'Extracción secuencial MA REP'!$C$46:$D$46</c:f>
              <c:numCache>
                <c:formatCode>0.00</c:formatCode>
                <c:ptCount val="2"/>
                <c:pt idx="0">
                  <c:v>12.79557549854729</c:v>
                </c:pt>
                <c:pt idx="1">
                  <c:v>1.9173670489169361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3B-473E-9226-E032691F4BE8}"/>
            </c:ext>
          </c:extLst>
        </c:ser>
        <c:ser>
          <c:idx val="8"/>
          <c:order val="8"/>
          <c:tx>
            <c:strRef>
              <c:f>'Extracción secuencial MA REP'!$B$48</c:f>
              <c:strCache>
                <c:ptCount val="1"/>
                <c:pt idx="0">
                  <c:v>HNO3 RESIDUO</c:v>
                </c:pt>
              </c:strCache>
            </c:strRef>
          </c:tx>
          <c:spPr>
            <a:solidFill>
              <a:srgbClr val="FF3333"/>
            </a:solidFill>
            <a:ln>
              <a:noFill/>
            </a:ln>
            <a:effectLst/>
          </c:spPr>
          <c:invertIfNegative val="0"/>
          <c:cat>
            <c:strRef>
              <c:f>'Extracción secuencial MA REP'!$C$39:$D$39</c:f>
              <c:strCache>
                <c:ptCount val="2"/>
                <c:pt idx="0">
                  <c:v>Cu(II)</c:v>
                </c:pt>
                <c:pt idx="1">
                  <c:v>Zn(II)</c:v>
                </c:pt>
              </c:strCache>
            </c:strRef>
          </c:cat>
          <c:val>
            <c:numRef>
              <c:f>'Extracción secuencial MA REP'!$C$48:$D$48</c:f>
              <c:numCache>
                <c:formatCode>0.00</c:formatCode>
                <c:ptCount val="2"/>
                <c:pt idx="0">
                  <c:v>16.409122016061698</c:v>
                </c:pt>
                <c:pt idx="1">
                  <c:v>0.86977621650074077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3B-473E-9226-E032691F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1015023"/>
        <c:axId val="1701015855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'Extracción secuencial MA REP'!$B$41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'Extracción secuencial MA REP'!$C$39:$D$39</c15:sqref>
                        </c15:formulaRef>
                      </c:ext>
                    </c:extLst>
                    <c:strCache>
                      <c:ptCount val="2"/>
                      <c:pt idx="0">
                        <c:v>Cu(II)</c:v>
                      </c:pt>
                      <c:pt idx="1">
                        <c:v>Zn(II)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'Extracción secuencial MA REP'!$C$41:$D$41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23B-473E-9226-E032691F4BE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REP'!$B$43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REP'!$C$39:$D$39</c15:sqref>
                        </c15:formulaRef>
                      </c:ext>
                    </c:extLst>
                    <c:strCache>
                      <c:ptCount val="2"/>
                      <c:pt idx="0">
                        <c:v>Cu(II)</c:v>
                      </c:pt>
                      <c:pt idx="1">
                        <c:v>Zn(II)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REP'!$C$43:$D$43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23B-473E-9226-E032691F4BE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REP'!$B$45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REP'!$C$39:$D$39</c15:sqref>
                        </c15:formulaRef>
                      </c:ext>
                    </c:extLst>
                    <c:strCache>
                      <c:ptCount val="2"/>
                      <c:pt idx="0">
                        <c:v>Cu(II)</c:v>
                      </c:pt>
                      <c:pt idx="1">
                        <c:v>Zn(II)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REP'!$C$45:$D$45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23B-473E-9226-E032691F4BE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REP'!$B$47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REP'!$C$39:$D$39</c15:sqref>
                        </c15:formulaRef>
                      </c:ext>
                    </c:extLst>
                    <c:strCache>
                      <c:ptCount val="2"/>
                      <c:pt idx="0">
                        <c:v>Cu(II)</c:v>
                      </c:pt>
                      <c:pt idx="1">
                        <c:v>Zn(II)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REP'!$C$47:$D$47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23B-473E-9226-E032691F4BE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REP'!$B$49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REP'!$C$39:$D$39</c15:sqref>
                        </c15:formulaRef>
                      </c:ext>
                    </c:extLst>
                    <c:strCache>
                      <c:ptCount val="2"/>
                      <c:pt idx="0">
                        <c:v>Cu(II)</c:v>
                      </c:pt>
                      <c:pt idx="1">
                        <c:v>Zn(II)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MA REP'!$C$49:$D$49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23B-473E-9226-E032691F4BE8}"/>
                  </c:ext>
                </c:extLst>
              </c15:ser>
            </c15:filteredBarSeries>
          </c:ext>
        </c:extLst>
      </c:barChart>
      <c:catAx>
        <c:axId val="170101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1015855"/>
        <c:crosses val="autoZero"/>
        <c:auto val="1"/>
        <c:lblAlgn val="ctr"/>
        <c:lblOffset val="100"/>
        <c:noMultiLvlLbl val="0"/>
      </c:catAx>
      <c:valAx>
        <c:axId val="1701015855"/>
        <c:scaling>
          <c:orientation val="minMax"/>
          <c:max val="10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101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Extracción secuencial Fango aerobio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'Extracción secuencial Fango'!$B$40</c:f>
              <c:strCache>
                <c:ptCount val="1"/>
                <c:pt idx="0">
                  <c:v>0,1 M MgCl2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'Extracción secuencial Fango'!$C$39:$D$39</c:f>
              <c:strCache>
                <c:ptCount val="2"/>
                <c:pt idx="0">
                  <c:v>Cu(II)</c:v>
                </c:pt>
                <c:pt idx="1">
                  <c:v>Zn(II)</c:v>
                </c:pt>
              </c:strCache>
            </c:strRef>
          </c:cat>
          <c:val>
            <c:numRef>
              <c:f>'Extracción secuencial Fango'!$C$40:$D$40</c:f>
              <c:numCache>
                <c:formatCode>0.00</c:formatCode>
                <c:ptCount val="2"/>
                <c:pt idx="0">
                  <c:v>7.2796864631037419</c:v>
                </c:pt>
                <c:pt idx="1">
                  <c:v>22.971864347461427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B-46F3-808E-F8FD40F2931D}"/>
            </c:ext>
          </c:extLst>
        </c:ser>
        <c:ser>
          <c:idx val="2"/>
          <c:order val="2"/>
          <c:tx>
            <c:strRef>
              <c:f>'Extracción secuencial Fango'!$B$42</c:f>
              <c:strCache>
                <c:ptCount val="1"/>
                <c:pt idx="0">
                  <c:v>0,5 M NaAcO/HAcO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580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1EB-46F3-808E-F8FD40F2931D}"/>
              </c:ext>
            </c:extLst>
          </c:dPt>
          <c:dPt>
            <c:idx val="1"/>
            <c:invertIfNegative val="0"/>
            <c:bubble3D val="0"/>
            <c:spPr>
              <a:solidFill>
                <a:srgbClr val="F580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1EB-46F3-808E-F8FD40F2931D}"/>
              </c:ext>
            </c:extLst>
          </c:dPt>
          <c:cat>
            <c:strRef>
              <c:f>'Extracción secuencial Fango'!$C$39:$D$39</c:f>
              <c:strCache>
                <c:ptCount val="2"/>
                <c:pt idx="0">
                  <c:v>Cu(II)</c:v>
                </c:pt>
                <c:pt idx="1">
                  <c:v>Zn(II)</c:v>
                </c:pt>
              </c:strCache>
            </c:strRef>
          </c:cat>
          <c:val>
            <c:numRef>
              <c:f>'Extracción secuencial Fango'!$C$42:$D$42</c:f>
              <c:numCache>
                <c:formatCode>0.00</c:formatCode>
                <c:ptCount val="2"/>
                <c:pt idx="0">
                  <c:v>68.498291226218896</c:v>
                </c:pt>
                <c:pt idx="1">
                  <c:v>69.703847299881687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EB-46F3-808E-F8FD40F2931D}"/>
            </c:ext>
          </c:extLst>
        </c:ser>
        <c:ser>
          <c:idx val="4"/>
          <c:order val="4"/>
          <c:tx>
            <c:strRef>
              <c:f>'Extracción secuencial Fango'!$B$44</c:f>
              <c:strCache>
                <c:ptCount val="1"/>
                <c:pt idx="0">
                  <c:v>0,1 M NH2OH · HCl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'Extracción secuencial Fango'!$C$39:$D$39</c:f>
              <c:strCache>
                <c:ptCount val="2"/>
                <c:pt idx="0">
                  <c:v>Cu(II)</c:v>
                </c:pt>
                <c:pt idx="1">
                  <c:v>Zn(II)</c:v>
                </c:pt>
              </c:strCache>
            </c:strRef>
          </c:cat>
          <c:val>
            <c:numRef>
              <c:f>'Extracción secuencial Fango'!$C$44:$D$44</c:f>
              <c:numCache>
                <c:formatCode>0.00</c:formatCode>
                <c:ptCount val="2"/>
                <c:pt idx="0">
                  <c:v>4.8226469747650293</c:v>
                </c:pt>
                <c:pt idx="1">
                  <c:v>5.4077482331673474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EB-46F3-808E-F8FD40F2931D}"/>
            </c:ext>
          </c:extLst>
        </c:ser>
        <c:ser>
          <c:idx val="6"/>
          <c:order val="6"/>
          <c:tx>
            <c:strRef>
              <c:f>'Extracción secuencial Fango'!$B$46</c:f>
              <c:strCache>
                <c:ptCount val="1"/>
                <c:pt idx="0">
                  <c:v>30% H2O2 (w/v)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'Extracción secuencial Fango'!$C$39:$D$39</c:f>
              <c:strCache>
                <c:ptCount val="2"/>
                <c:pt idx="0">
                  <c:v>Cu(II)</c:v>
                </c:pt>
                <c:pt idx="1">
                  <c:v>Zn(II)</c:v>
                </c:pt>
              </c:strCache>
            </c:strRef>
          </c:cat>
          <c:val>
            <c:numRef>
              <c:f>'Extracción secuencial Fango'!$C$46:$D$46</c:f>
              <c:numCache>
                <c:formatCode>0.00</c:formatCode>
                <c:ptCount val="2"/>
                <c:pt idx="0">
                  <c:v>18.006779157802256</c:v>
                </c:pt>
                <c:pt idx="1">
                  <c:v>1.32459479301186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EB-46F3-808E-F8FD40F2931D}"/>
            </c:ext>
          </c:extLst>
        </c:ser>
        <c:ser>
          <c:idx val="8"/>
          <c:order val="8"/>
          <c:tx>
            <c:strRef>
              <c:f>'Extracción secuencial Fango'!$B$48</c:f>
              <c:strCache>
                <c:ptCount val="1"/>
                <c:pt idx="0">
                  <c:v>HNO3 RESIDUO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'Extracción secuencial Fango'!$C$39:$D$39</c:f>
              <c:strCache>
                <c:ptCount val="2"/>
                <c:pt idx="0">
                  <c:v>Cu(II)</c:v>
                </c:pt>
                <c:pt idx="1">
                  <c:v>Zn(II)</c:v>
                </c:pt>
              </c:strCache>
            </c:strRef>
          </c:cat>
          <c:val>
            <c:numRef>
              <c:f>'Extracción secuencial Fango'!$C$48:$D$48</c:f>
              <c:numCache>
                <c:formatCode>0.00</c:formatCode>
                <c:ptCount val="2"/>
                <c:pt idx="0">
                  <c:v>1.3925961781100504</c:v>
                </c:pt>
                <c:pt idx="1">
                  <c:v>0.59194532647767173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EB-46F3-808E-F8FD40F29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164703"/>
        <c:axId val="177116511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'Extracción secuencial Fango'!$B$41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'Extracción secuencial Fango'!$C$39:$D$39</c15:sqref>
                        </c15:formulaRef>
                      </c:ext>
                    </c:extLst>
                    <c:strCache>
                      <c:ptCount val="2"/>
                      <c:pt idx="0">
                        <c:v>Cu(II)</c:v>
                      </c:pt>
                      <c:pt idx="1">
                        <c:v>Zn(II)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'Extracción secuencial Fango'!$C$41:$D$41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1EB-46F3-808E-F8FD40F293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Fango'!$B$43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Fango'!$C$39:$D$39</c15:sqref>
                        </c15:formulaRef>
                      </c:ext>
                    </c:extLst>
                    <c:strCache>
                      <c:ptCount val="2"/>
                      <c:pt idx="0">
                        <c:v>Cu(II)</c:v>
                      </c:pt>
                      <c:pt idx="1">
                        <c:v>Zn(II)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Fango'!$C$43:$D$43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1EB-46F3-808E-F8FD40F2931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Fango'!$B$45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Fango'!$C$39:$D$39</c15:sqref>
                        </c15:formulaRef>
                      </c:ext>
                    </c:extLst>
                    <c:strCache>
                      <c:ptCount val="2"/>
                      <c:pt idx="0">
                        <c:v>Cu(II)</c:v>
                      </c:pt>
                      <c:pt idx="1">
                        <c:v>Zn(II)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Fango'!$C$45:$D$45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1EB-46F3-808E-F8FD40F2931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Fango'!$B$47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Fango'!$C$39:$D$39</c15:sqref>
                        </c15:formulaRef>
                      </c:ext>
                    </c:extLst>
                    <c:strCache>
                      <c:ptCount val="2"/>
                      <c:pt idx="0">
                        <c:v>Cu(II)</c:v>
                      </c:pt>
                      <c:pt idx="1">
                        <c:v>Zn(II)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Fango'!$C$47:$D$47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1EB-46F3-808E-F8FD40F2931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Fango'!$B$49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Fango'!$C$39:$D$39</c15:sqref>
                        </c15:formulaRef>
                      </c:ext>
                    </c:extLst>
                    <c:strCache>
                      <c:ptCount val="2"/>
                      <c:pt idx="0">
                        <c:v>Cu(II)</c:v>
                      </c:pt>
                      <c:pt idx="1">
                        <c:v>Zn(II)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'Extracción secuencial Fango'!$C$49:$D$49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1EB-46F3-808E-F8FD40F2931D}"/>
                  </c:ext>
                </c:extLst>
              </c15:ser>
            </c15:filteredBarSeries>
          </c:ext>
        </c:extLst>
      </c:barChart>
      <c:catAx>
        <c:axId val="177116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165119"/>
        <c:crosses val="autoZero"/>
        <c:auto val="1"/>
        <c:lblAlgn val="ctr"/>
        <c:lblOffset val="100"/>
        <c:noMultiLvlLbl val="0"/>
      </c:catAx>
      <c:valAx>
        <c:axId val="1771165119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16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'Gráficos secuenciales'!$B$4</c:f>
              <c:strCache>
                <c:ptCount val="1"/>
                <c:pt idx="0">
                  <c:v>0,1 M MgCl2</c:v>
                </c:pt>
              </c:strCache>
            </c:strRef>
          </c:tx>
          <c:spPr>
            <a:solidFill>
              <a:srgbClr val="F9F96B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'Gráficos secuenciales'!$C$4:$G$4</c:f>
              <c:numCache>
                <c:formatCode>0.00</c:formatCode>
                <c:ptCount val="5"/>
                <c:pt idx="0">
                  <c:v>29.557819742460374</c:v>
                </c:pt>
                <c:pt idx="1">
                  <c:v>69.941690834649322</c:v>
                </c:pt>
                <c:pt idx="3">
                  <c:v>7.2796864631037419</c:v>
                </c:pt>
                <c:pt idx="4">
                  <c:v>22.971864347461427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0-4FB3-9323-D9F0FD5FD6B0}"/>
            </c:ext>
          </c:extLst>
        </c:ser>
        <c:ser>
          <c:idx val="2"/>
          <c:order val="2"/>
          <c:tx>
            <c:strRef>
              <c:f>'Gráficos secuenciales'!$B$6</c:f>
              <c:strCache>
                <c:ptCount val="1"/>
                <c:pt idx="0">
                  <c:v>0,5 M Acetate buffer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'Gráficos secuenciales'!$C$6:$G$6</c:f>
              <c:numCache>
                <c:formatCode>0.00</c:formatCode>
                <c:ptCount val="5"/>
                <c:pt idx="0">
                  <c:v>39.112952369518965</c:v>
                </c:pt>
                <c:pt idx="1">
                  <c:v>24.511449624733775</c:v>
                </c:pt>
                <c:pt idx="3">
                  <c:v>68.498291226218896</c:v>
                </c:pt>
                <c:pt idx="4">
                  <c:v>69.703847299881687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30-4FB3-9323-D9F0FD5FD6B0}"/>
            </c:ext>
          </c:extLst>
        </c:ser>
        <c:ser>
          <c:idx val="4"/>
          <c:order val="4"/>
          <c:tx>
            <c:strRef>
              <c:f>'Gráficos secuenciales'!$B$8</c:f>
              <c:strCache>
                <c:ptCount val="1"/>
                <c:pt idx="0">
                  <c:v>0,1 M NH2OH · HCl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7.8356628547225748E-2"/>
                  <c:y val="4.20168067226890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03-4EB1-90D0-456DA99CC7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'Gráficos secuenciales'!$C$8:$G$8</c:f>
              <c:numCache>
                <c:formatCode>0.00</c:formatCode>
                <c:ptCount val="5"/>
                <c:pt idx="0">
                  <c:v>2.1245303734116745</c:v>
                </c:pt>
                <c:pt idx="1">
                  <c:v>2.7597162751992266</c:v>
                </c:pt>
                <c:pt idx="3">
                  <c:v>4.8226469747650293</c:v>
                </c:pt>
                <c:pt idx="4">
                  <c:v>5.4077482331673474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30-4FB3-9323-D9F0FD5FD6B0}"/>
            </c:ext>
          </c:extLst>
        </c:ser>
        <c:ser>
          <c:idx val="6"/>
          <c:order val="6"/>
          <c:tx>
            <c:strRef>
              <c:f>'Gráficos secuenciales'!$B$10</c:f>
              <c:strCache>
                <c:ptCount val="1"/>
                <c:pt idx="0">
                  <c:v>30% H2O2 (w/v)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'Gráficos secuenciales'!$C$10:$G$10</c:f>
              <c:numCache>
                <c:formatCode>0.00</c:formatCode>
                <c:ptCount val="5"/>
                <c:pt idx="0">
                  <c:v>12.79557549854729</c:v>
                </c:pt>
                <c:pt idx="1">
                  <c:v>1.9173670489169361</c:v>
                </c:pt>
                <c:pt idx="3">
                  <c:v>18.006779157802256</c:v>
                </c:pt>
                <c:pt idx="4">
                  <c:v>1.32459479301186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30-4FB3-9323-D9F0FD5FD6B0}"/>
            </c:ext>
          </c:extLst>
        </c:ser>
        <c:ser>
          <c:idx val="8"/>
          <c:order val="8"/>
          <c:tx>
            <c:strRef>
              <c:f>'Gráficos secuenciales'!$B$12</c:f>
              <c:strCache>
                <c:ptCount val="1"/>
                <c:pt idx="0">
                  <c:v>HNO3 RESIDUO</c:v>
                </c:pt>
              </c:strCache>
            </c:strRef>
          </c:tx>
          <c:spPr>
            <a:solidFill>
              <a:srgbClr val="BC8EDE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7.8356628547225748E-2"/>
                  <c:y val="-4.66853408029878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03-4EB1-90D0-456DA99CC7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'Gráficos secuenciales'!$C$12:$G$12</c:f>
              <c:numCache>
                <c:formatCode>0.00</c:formatCode>
                <c:ptCount val="5"/>
                <c:pt idx="0">
                  <c:v>16.409122016061698</c:v>
                </c:pt>
                <c:pt idx="1">
                  <c:v>0.86977621650074077</c:v>
                </c:pt>
                <c:pt idx="3">
                  <c:v>1.3925961781100504</c:v>
                </c:pt>
                <c:pt idx="4">
                  <c:v>0.59194532647767173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30-4FB3-9323-D9F0FD5FD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4991872"/>
        <c:axId val="5549927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'Gráficos secuenciales'!$B$5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'Gráficos secuenciales'!$C$5:$G$5</c15:sqref>
                        </c15:formulaRef>
                      </c:ext>
                    </c:extLst>
                    <c:numCache>
                      <c:formatCode>0.00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430-4FB3-9323-D9F0FD5FD6B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secuenciales'!$B$7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secuenciales'!$C$7:$G$7</c15:sqref>
                        </c15:formulaRef>
                      </c:ext>
                    </c:extLst>
                    <c:numCache>
                      <c:formatCode>0.00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430-4FB3-9323-D9F0FD5FD6B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secuenciales'!$B$9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secuenciales'!$C$9:$G$9</c15:sqref>
                        </c15:formulaRef>
                      </c:ext>
                    </c:extLst>
                    <c:numCache>
                      <c:formatCode>0.00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430-4FB3-9323-D9F0FD5FD6B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secuenciales'!$B$11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secuenciales'!$C$11:$G$11</c15:sqref>
                        </c15:formulaRef>
                      </c:ext>
                    </c:extLst>
                    <c:numCache>
                      <c:formatCode>0.00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430-4FB3-9323-D9F0FD5FD6B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secuenciales'!$B$13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'Gráficos secuenciales'!$C$13:$G$13</c15:sqref>
                        </c15:formulaRef>
                      </c:ext>
                    </c:extLst>
                    <c:numCache>
                      <c:formatCode>0.00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430-4FB3-9323-D9F0FD5FD6B0}"/>
                  </c:ext>
                </c:extLst>
              </c15:ser>
            </c15:filteredBarSeries>
          </c:ext>
        </c:extLst>
      </c:barChart>
      <c:catAx>
        <c:axId val="55499187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Cu(II)                          Zn(II)                                                              Cu(II)                         Zn(II)</a:t>
                </a:r>
              </a:p>
              <a:p>
                <a:pPr algn="l">
                  <a:defRPr/>
                </a:pPr>
                <a:r>
                  <a:rPr lang="en-US" i="1"/>
                  <a:t>Scenedemus almeriensis                                                                      </a:t>
                </a:r>
                <a:r>
                  <a:rPr lang="en-US" i="1" baseline="0"/>
                  <a:t> </a:t>
                </a:r>
                <a:r>
                  <a:rPr lang="en-US" baseline="0"/>
                  <a:t>Activated sludge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8660533538771437"/>
              <c:y val="0.76991074645081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554992704"/>
        <c:crosses val="autoZero"/>
        <c:auto val="1"/>
        <c:lblAlgn val="ctr"/>
        <c:lblOffset val="100"/>
        <c:noMultiLvlLbl val="0"/>
      </c:catAx>
      <c:valAx>
        <c:axId val="5549927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Extacted</a:t>
                </a:r>
                <a:r>
                  <a:rPr lang="en-US" baseline="0"/>
                  <a:t> metal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9918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146198</xdr:colOff>
      <xdr:row>31</xdr:row>
      <xdr:rowOff>168349</xdr:rowOff>
    </xdr:from>
    <xdr:to>
      <xdr:col>10</xdr:col>
      <xdr:colOff>425303</xdr:colOff>
      <xdr:row>45</xdr:row>
      <xdr:rowOff>91262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C3B5BFB-DB93-4979-9F6B-CB40DC64F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1117801</xdr:colOff>
      <xdr:row>31</xdr:row>
      <xdr:rowOff>51618</xdr:rowOff>
    </xdr:from>
    <xdr:to>
      <xdr:col>9</xdr:col>
      <xdr:colOff>16660</xdr:colOff>
      <xdr:row>45</xdr:row>
      <xdr:rowOff>124074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F9416D-591A-4F55-9DD3-1594A177A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37</xdr:row>
      <xdr:rowOff>31173</xdr:rowOff>
    </xdr:from>
    <xdr:to>
      <xdr:col>10</xdr:col>
      <xdr:colOff>199159</xdr:colOff>
      <xdr:row>51</xdr:row>
      <xdr:rowOff>167986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FCF3AA-F258-4AA7-A305-4A0710673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751771</xdr:colOff>
      <xdr:row>37</xdr:row>
      <xdr:rowOff>115455</xdr:rowOff>
    </xdr:from>
    <xdr:to>
      <xdr:col>11</xdr:col>
      <xdr:colOff>484910</xdr:colOff>
      <xdr:row>50</xdr:row>
      <xdr:rowOff>119742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F77EC57-DBC8-4CED-B92E-939624673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243840</xdr:colOff>
      <xdr:row>15</xdr:row>
      <xdr:rowOff>76200</xdr:rowOff>
    </xdr:from>
    <xdr:to>
      <xdr:col>9</xdr:col>
      <xdr:colOff>723900</xdr:colOff>
      <xdr:row>30</xdr:row>
      <xdr:rowOff>53340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E79CE3-C867-4498-B5BB-159D60042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4E3B-9C20-44AD-A452-74157360517C}">
  <dimension ref="A1:G9"/>
  <sheetViews>
    <sheetView tabSelected="1" workbookViewId="0">
      <selection sqref="A1:B9"/>
    </sheetView>
  </sheetViews>
  <sheetFormatPr baseColWidth="10" defaultColWidth="11.44140625" defaultRowHeight="14.4" x14ac:dyDescent="0.3"/>
  <cols>
    <col min="1" max="1" width="17" bestFit="1" customWidth="1"/>
    <col min="2" max="2" width="19.109375" customWidth="1"/>
    <col min="3" max="4" width="20.33203125" customWidth="1"/>
    <col min="5" max="5" width="13.5546875" customWidth="1"/>
    <col min="6" max="6" width="13.33203125" bestFit="1" customWidth="1"/>
    <col min="7" max="7" width="19.6640625" customWidth="1"/>
  </cols>
  <sheetData>
    <row r="1" spans="1:7" x14ac:dyDescent="0.3"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</row>
    <row r="2" spans="1:7" x14ac:dyDescent="0.3">
      <c r="B2" s="10" t="s">
        <v>149</v>
      </c>
      <c r="C2" s="10"/>
      <c r="D2" s="10"/>
      <c r="E2" s="10"/>
      <c r="F2" s="10"/>
      <c r="G2" s="10"/>
    </row>
    <row r="3" spans="1:7" x14ac:dyDescent="0.3">
      <c r="A3" s="10" t="s">
        <v>6</v>
      </c>
      <c r="B3" s="9">
        <v>30</v>
      </c>
      <c r="C3" s="9">
        <f>(B3*F3)/E3</f>
        <v>1500</v>
      </c>
      <c r="D3" s="9">
        <v>0.25</v>
      </c>
      <c r="E3" s="9">
        <v>10</v>
      </c>
      <c r="F3" s="9">
        <v>500</v>
      </c>
      <c r="G3" s="9">
        <f>C3*D3</f>
        <v>375</v>
      </c>
    </row>
    <row r="4" spans="1:7" ht="15.6" x14ac:dyDescent="0.35">
      <c r="A4" s="10" t="s">
        <v>7</v>
      </c>
      <c r="B4" s="9">
        <v>32.5</v>
      </c>
      <c r="C4" s="9">
        <f>(B4*F4)/E4</f>
        <v>1625</v>
      </c>
      <c r="D4" s="9">
        <v>0.25</v>
      </c>
      <c r="E4" s="9">
        <v>10</v>
      </c>
      <c r="F4" s="9">
        <v>500</v>
      </c>
      <c r="G4" s="9">
        <f>C4*D4</f>
        <v>406.25</v>
      </c>
    </row>
    <row r="5" spans="1:7" ht="15.6" x14ac:dyDescent="0.35">
      <c r="A5" s="10" t="s">
        <v>8</v>
      </c>
      <c r="B5" s="9">
        <v>4</v>
      </c>
      <c r="C5" s="9">
        <f>(B5*F5)/E5</f>
        <v>200</v>
      </c>
      <c r="D5" s="9">
        <v>0.25</v>
      </c>
      <c r="E5" s="9">
        <v>10</v>
      </c>
      <c r="F5" s="9">
        <v>500</v>
      </c>
      <c r="G5" s="9">
        <f t="shared" ref="G5:G9" si="0">C5*D5</f>
        <v>50</v>
      </c>
    </row>
    <row r="6" spans="1:7" x14ac:dyDescent="0.3">
      <c r="A6" s="10" t="s">
        <v>9</v>
      </c>
      <c r="B6" s="9">
        <v>7</v>
      </c>
      <c r="C6" s="9">
        <f>(B6*F6)/E6</f>
        <v>350</v>
      </c>
      <c r="D6" s="9">
        <v>0.25</v>
      </c>
      <c r="E6" s="9">
        <v>10</v>
      </c>
      <c r="F6" s="9">
        <v>500</v>
      </c>
      <c r="G6" s="9">
        <f t="shared" si="0"/>
        <v>87.5</v>
      </c>
    </row>
    <row r="7" spans="1:7" ht="15.6" x14ac:dyDescent="0.35">
      <c r="A7" s="10" t="s">
        <v>10</v>
      </c>
      <c r="B7" s="9">
        <v>2</v>
      </c>
      <c r="C7" s="9">
        <f>(B7*F7)/E7</f>
        <v>100</v>
      </c>
      <c r="D7" s="9">
        <v>0.25</v>
      </c>
      <c r="E7" s="9">
        <v>10</v>
      </c>
      <c r="F7" s="9">
        <v>500</v>
      </c>
      <c r="G7" s="9">
        <f t="shared" si="0"/>
        <v>25</v>
      </c>
    </row>
    <row r="8" spans="1:7" x14ac:dyDescent="0.3">
      <c r="A8" s="10" t="s">
        <v>193</v>
      </c>
      <c r="B8" s="9">
        <v>160</v>
      </c>
      <c r="C8" s="9">
        <f>(B8*F8)/E8</f>
        <v>8000</v>
      </c>
      <c r="D8" s="9">
        <v>0.25</v>
      </c>
      <c r="E8" s="9">
        <v>10</v>
      </c>
      <c r="F8" s="9">
        <v>500</v>
      </c>
      <c r="G8" s="9">
        <f t="shared" si="0"/>
        <v>2000</v>
      </c>
    </row>
    <row r="9" spans="1:7" x14ac:dyDescent="0.3">
      <c r="A9" s="10" t="s">
        <v>194</v>
      </c>
      <c r="B9" s="9">
        <v>110</v>
      </c>
      <c r="C9" s="9">
        <f>(B9*F9)/E9</f>
        <v>5500</v>
      </c>
      <c r="D9" s="9">
        <v>0.25</v>
      </c>
      <c r="E9" s="9">
        <v>10</v>
      </c>
      <c r="F9" s="9">
        <v>500</v>
      </c>
      <c r="G9" s="9">
        <f t="shared" si="0"/>
        <v>1375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1676-F9C2-4989-AA32-8CB18BA08108}">
  <dimension ref="B1:P81"/>
  <sheetViews>
    <sheetView topLeftCell="A28" zoomScale="85" zoomScaleNormal="85" workbookViewId="0">
      <selection activeCell="H56" sqref="H56"/>
    </sheetView>
  </sheetViews>
  <sheetFormatPr baseColWidth="10" defaultColWidth="11.5546875" defaultRowHeight="14.4" x14ac:dyDescent="0.3"/>
  <cols>
    <col min="1" max="1" width="7.5546875" customWidth="1"/>
    <col min="2" max="2" width="24.5546875" customWidth="1"/>
    <col min="3" max="3" width="20.33203125" customWidth="1"/>
    <col min="4" max="4" width="18.6640625" customWidth="1"/>
    <col min="5" max="5" width="16.5546875" bestFit="1" customWidth="1"/>
    <col min="6" max="6" width="17" bestFit="1" customWidth="1"/>
    <col min="7" max="7" width="22.6640625" bestFit="1" customWidth="1"/>
    <col min="8" max="8" width="14.5546875" bestFit="1" customWidth="1"/>
    <col min="9" max="9" width="23.6640625" bestFit="1" customWidth="1"/>
    <col min="10" max="10" width="16.6640625" bestFit="1" customWidth="1"/>
    <col min="12" max="12" width="12.6640625" bestFit="1" customWidth="1"/>
    <col min="13" max="13" width="14.88671875" customWidth="1"/>
  </cols>
  <sheetData>
    <row r="1" spans="2:16" ht="15" thickBot="1" x14ac:dyDescent="0.35">
      <c r="B1" s="93"/>
      <c r="C1" s="93"/>
      <c r="D1" s="331" t="s">
        <v>122</v>
      </c>
      <c r="E1" s="332"/>
      <c r="F1" s="332"/>
      <c r="G1" s="333"/>
    </row>
    <row r="2" spans="2:16" ht="16.2" thickBot="1" x14ac:dyDescent="0.35">
      <c r="B2" s="94" t="s">
        <v>123</v>
      </c>
      <c r="C2" s="98" t="s">
        <v>124</v>
      </c>
      <c r="D2" s="98" t="s">
        <v>3</v>
      </c>
      <c r="E2" s="98" t="s">
        <v>125</v>
      </c>
      <c r="F2" s="98" t="s">
        <v>126</v>
      </c>
      <c r="G2" s="98" t="s">
        <v>127</v>
      </c>
      <c r="I2" s="13" t="s">
        <v>128</v>
      </c>
      <c r="J2" s="14">
        <v>1</v>
      </c>
      <c r="K2" s="15">
        <v>2</v>
      </c>
    </row>
    <row r="3" spans="2:16" ht="16.8" thickBot="1" x14ac:dyDescent="0.35">
      <c r="B3" s="97" t="s">
        <v>129</v>
      </c>
      <c r="C3" s="100" t="s">
        <v>130</v>
      </c>
      <c r="D3" s="99">
        <v>30</v>
      </c>
      <c r="E3" s="99">
        <v>7</v>
      </c>
      <c r="F3" s="99">
        <v>1</v>
      </c>
      <c r="G3" s="102" t="s">
        <v>131</v>
      </c>
      <c r="I3" s="16" t="s">
        <v>66</v>
      </c>
      <c r="J3" s="7">
        <v>9.3315000000000001</v>
      </c>
      <c r="K3" s="17">
        <v>9.4156999999999993</v>
      </c>
    </row>
    <row r="4" spans="2:16" ht="15" thickBot="1" x14ac:dyDescent="0.35">
      <c r="B4" s="97" t="s">
        <v>132</v>
      </c>
      <c r="C4" s="101" t="s">
        <v>133</v>
      </c>
      <c r="D4" s="99">
        <v>30</v>
      </c>
      <c r="E4" s="99">
        <v>5</v>
      </c>
      <c r="F4" s="99">
        <v>1</v>
      </c>
      <c r="G4" s="102" t="s">
        <v>131</v>
      </c>
      <c r="I4" s="16" t="s">
        <v>134</v>
      </c>
      <c r="J4" s="138">
        <v>10.597</v>
      </c>
      <c r="K4" s="17">
        <v>10.316599999999999</v>
      </c>
    </row>
    <row r="5" spans="2:16" ht="28.2" thickBot="1" x14ac:dyDescent="0.35">
      <c r="B5" s="97" t="s">
        <v>135</v>
      </c>
      <c r="C5" s="101" t="s">
        <v>136</v>
      </c>
      <c r="D5" s="99">
        <v>30</v>
      </c>
      <c r="E5" s="99">
        <v>2</v>
      </c>
      <c r="F5" s="99">
        <v>2</v>
      </c>
      <c r="G5" s="102" t="s">
        <v>131</v>
      </c>
      <c r="I5" s="16" t="s">
        <v>137</v>
      </c>
      <c r="J5" s="2">
        <v>9.5675000000000008</v>
      </c>
      <c r="K5" s="139">
        <v>9.6044999999999998</v>
      </c>
    </row>
    <row r="6" spans="2:16" ht="28.2" thickBot="1" x14ac:dyDescent="0.35">
      <c r="B6" s="97" t="s">
        <v>138</v>
      </c>
      <c r="C6" s="101" t="s">
        <v>139</v>
      </c>
      <c r="D6" s="99">
        <v>30</v>
      </c>
      <c r="E6" s="99">
        <v>3</v>
      </c>
      <c r="F6" s="99">
        <v>2</v>
      </c>
      <c r="G6" s="102">
        <v>85</v>
      </c>
      <c r="I6" s="16" t="s">
        <v>69</v>
      </c>
      <c r="J6" s="2">
        <f>J5-J3</f>
        <v>0.23600000000000065</v>
      </c>
      <c r="K6" s="2">
        <f>K5-K3</f>
        <v>0.18880000000000052</v>
      </c>
    </row>
    <row r="7" spans="2:16" ht="15" thickBot="1" x14ac:dyDescent="0.35">
      <c r="B7" s="214" t="s">
        <v>140</v>
      </c>
      <c r="C7" s="103" t="s">
        <v>141</v>
      </c>
      <c r="D7" s="104">
        <v>5</v>
      </c>
      <c r="E7" s="104" t="s">
        <v>86</v>
      </c>
      <c r="F7" s="104" t="s">
        <v>86</v>
      </c>
      <c r="G7" s="105" t="s">
        <v>86</v>
      </c>
      <c r="I7" s="18" t="s">
        <v>70</v>
      </c>
      <c r="J7" s="140">
        <f>J6/(J4-J3)</f>
        <v>0.18648755432635383</v>
      </c>
      <c r="K7" s="140">
        <f>K6/(K4-K3)</f>
        <v>0.20956820956821015</v>
      </c>
      <c r="L7" s="23">
        <f>AVERAGE(J7:K7)</f>
        <v>0.19802788194728199</v>
      </c>
    </row>
    <row r="8" spans="2:16" ht="15" thickBot="1" x14ac:dyDescent="0.35">
      <c r="N8" s="175" t="s">
        <v>148</v>
      </c>
      <c r="O8" s="176" t="s">
        <v>91</v>
      </c>
      <c r="P8" s="177" t="s">
        <v>92</v>
      </c>
    </row>
    <row r="9" spans="2:16" ht="16.2" thickBot="1" x14ac:dyDescent="0.35">
      <c r="B9" s="4" t="s">
        <v>36</v>
      </c>
      <c r="N9" s="187"/>
      <c r="O9" s="178" t="s">
        <v>149</v>
      </c>
      <c r="P9" s="179" t="s">
        <v>149</v>
      </c>
    </row>
    <row r="10" spans="2:16" ht="16.2" thickBot="1" x14ac:dyDescent="0.35">
      <c r="B10" s="209" t="s">
        <v>72</v>
      </c>
      <c r="C10" s="47" t="s">
        <v>73</v>
      </c>
      <c r="D10" s="47" t="s">
        <v>74</v>
      </c>
      <c r="E10" s="47" t="s">
        <v>75</v>
      </c>
      <c r="F10" s="122" t="s">
        <v>76</v>
      </c>
      <c r="G10" s="47" t="s">
        <v>77</v>
      </c>
      <c r="H10" s="124" t="s">
        <v>78</v>
      </c>
      <c r="I10" s="46" t="s">
        <v>142</v>
      </c>
      <c r="J10" s="47" t="s">
        <v>80</v>
      </c>
      <c r="K10" s="47" t="s">
        <v>81</v>
      </c>
      <c r="L10" s="202" t="s">
        <v>150</v>
      </c>
      <c r="N10" s="180" t="s">
        <v>151</v>
      </c>
      <c r="O10" s="181">
        <v>8.6199999999999992</v>
      </c>
      <c r="P10" s="182">
        <v>15.3</v>
      </c>
    </row>
    <row r="11" spans="2:16" ht="15.6" x14ac:dyDescent="0.3">
      <c r="B11" s="321" t="s">
        <v>143</v>
      </c>
      <c r="C11" s="29" t="s">
        <v>61</v>
      </c>
      <c r="D11" s="20">
        <v>0.622</v>
      </c>
      <c r="E11" s="20">
        <f>D11*$L$7</f>
        <v>0.1231733425712094</v>
      </c>
      <c r="F11" s="11">
        <v>30</v>
      </c>
      <c r="G11" s="194">
        <v>8.6199999999999992</v>
      </c>
      <c r="H11" s="188">
        <f t="shared" ref="H11:H16" si="0">(G11*F11*10^(-3))/E11</f>
        <v>2.0994802495555991</v>
      </c>
      <c r="I11" s="334">
        <f>AVERAGE(H11:H12)</f>
        <v>2.0675421921674646</v>
      </c>
      <c r="J11" s="259">
        <f>_xlfn.STDEV.S(H11:H12)/AVERAGE(H11:H12)*100</f>
        <v>2.1845858374865812</v>
      </c>
      <c r="K11" s="259">
        <f>I11/$L$20*100</f>
        <v>29.557819742460374</v>
      </c>
      <c r="L11" s="157">
        <f>SUM(K11:K14)</f>
        <v>68.670772111979346</v>
      </c>
      <c r="N11" s="183" t="s">
        <v>152</v>
      </c>
      <c r="O11" s="181">
        <v>7.44</v>
      </c>
      <c r="P11" s="182">
        <v>13.8</v>
      </c>
    </row>
    <row r="12" spans="2:16" ht="15" thickBot="1" x14ac:dyDescent="0.35">
      <c r="B12" s="322"/>
      <c r="C12" s="30" t="s">
        <v>62</v>
      </c>
      <c r="D12" s="22">
        <v>0.55369999999999997</v>
      </c>
      <c r="E12" s="22">
        <f t="shared" ref="E12:E18" si="1">D12*$L$7</f>
        <v>0.10964803823421003</v>
      </c>
      <c r="F12" s="31">
        <v>30</v>
      </c>
      <c r="G12" s="195">
        <v>7.44</v>
      </c>
      <c r="H12" s="189">
        <f t="shared" si="0"/>
        <v>2.0356041347793301</v>
      </c>
      <c r="I12" s="335"/>
      <c r="J12" s="267"/>
      <c r="K12" s="267"/>
      <c r="N12" s="183" t="s">
        <v>153</v>
      </c>
      <c r="O12" s="181">
        <v>11.3</v>
      </c>
      <c r="P12" s="182">
        <v>5.56</v>
      </c>
    </row>
    <row r="13" spans="2:16" x14ac:dyDescent="0.3">
      <c r="B13" s="288" t="s">
        <v>133</v>
      </c>
      <c r="C13" s="29" t="s">
        <v>61</v>
      </c>
      <c r="D13" s="20">
        <v>0.622</v>
      </c>
      <c r="E13" s="20">
        <f t="shared" si="1"/>
        <v>0.1231733425712094</v>
      </c>
      <c r="F13" s="11">
        <v>30</v>
      </c>
      <c r="G13" s="194">
        <v>11.3</v>
      </c>
      <c r="H13" s="127">
        <f t="shared" si="0"/>
        <v>2.7522188886285694</v>
      </c>
      <c r="I13" s="264">
        <f>AVERAGE(H13:H14)</f>
        <v>2.73591489456338</v>
      </c>
      <c r="J13" s="259">
        <f>_xlfn.STDEV.S(H13:H14)/AVERAGE(H13:H14)*100</f>
        <v>0.8427648671988659</v>
      </c>
      <c r="K13" s="259">
        <f t="shared" ref="K13" si="2">I13/$L$20*100</f>
        <v>39.112952369518965</v>
      </c>
      <c r="N13" s="183" t="s">
        <v>154</v>
      </c>
      <c r="O13" s="181">
        <v>9.94</v>
      </c>
      <c r="P13" s="182">
        <v>4.66</v>
      </c>
    </row>
    <row r="14" spans="2:16" ht="16.2" thickBot="1" x14ac:dyDescent="0.35">
      <c r="B14" s="289"/>
      <c r="C14" s="30" t="s">
        <v>62</v>
      </c>
      <c r="D14" s="22">
        <v>0.55369999999999997</v>
      </c>
      <c r="E14" s="22">
        <f t="shared" si="1"/>
        <v>0.10964803823421003</v>
      </c>
      <c r="F14" s="31">
        <v>30</v>
      </c>
      <c r="G14" s="195">
        <v>9.94</v>
      </c>
      <c r="H14" s="190">
        <f t="shared" si="0"/>
        <v>2.719610900498191</v>
      </c>
      <c r="I14" s="265"/>
      <c r="J14" s="267"/>
      <c r="K14" s="267"/>
      <c r="N14" s="183" t="s">
        <v>155</v>
      </c>
      <c r="O14" s="181">
        <v>0.57999999999999996</v>
      </c>
      <c r="P14" s="182">
        <v>0.62</v>
      </c>
    </row>
    <row r="15" spans="2:16" ht="15.6" x14ac:dyDescent="0.3">
      <c r="B15" s="291" t="s">
        <v>144</v>
      </c>
      <c r="C15" s="29" t="s">
        <v>61</v>
      </c>
      <c r="D15" s="20">
        <v>0.622</v>
      </c>
      <c r="E15" s="20">
        <f t="shared" si="1"/>
        <v>0.1231733425712094</v>
      </c>
      <c r="F15" s="11">
        <v>30</v>
      </c>
      <c r="G15" s="194">
        <v>0.57999999999999996</v>
      </c>
      <c r="H15" s="129">
        <f t="shared" si="0"/>
        <v>0.14126433233668761</v>
      </c>
      <c r="I15" s="271">
        <f>AVERAGE(H15:H16)</f>
        <v>0.14860893746029394</v>
      </c>
      <c r="J15" s="259">
        <f>_xlfn.STDEV.S(H15:H16)/AVERAGE(H15:H16)*100</f>
        <v>6.9893778621855711</v>
      </c>
      <c r="K15" s="259">
        <f t="shared" ref="K15" si="3">I15/$L$20*100</f>
        <v>2.1245303734116745</v>
      </c>
      <c r="N15" s="183" t="s">
        <v>156</v>
      </c>
      <c r="O15" s="181">
        <v>0.56999999999999995</v>
      </c>
      <c r="P15" s="182">
        <v>0.53</v>
      </c>
    </row>
    <row r="16" spans="2:16" ht="16.2" thickBot="1" x14ac:dyDescent="0.35">
      <c r="B16" s="292"/>
      <c r="C16" s="30" t="s">
        <v>62</v>
      </c>
      <c r="D16" s="22">
        <v>0.55369999999999997</v>
      </c>
      <c r="E16" s="22">
        <f t="shared" si="1"/>
        <v>0.10964803823421003</v>
      </c>
      <c r="F16" s="31">
        <v>30</v>
      </c>
      <c r="G16" s="195">
        <v>0.56999999999999995</v>
      </c>
      <c r="H16" s="191">
        <f t="shared" si="0"/>
        <v>0.15595354258390026</v>
      </c>
      <c r="I16" s="272"/>
      <c r="J16" s="267"/>
      <c r="K16" s="267"/>
      <c r="N16" s="183" t="s">
        <v>157</v>
      </c>
      <c r="O16" s="181">
        <v>3.71</v>
      </c>
      <c r="P16" s="182">
        <v>0.44</v>
      </c>
    </row>
    <row r="17" spans="2:16" ht="15.6" x14ac:dyDescent="0.3">
      <c r="B17" s="294" t="s">
        <v>145</v>
      </c>
      <c r="C17" s="29" t="s">
        <v>61</v>
      </c>
      <c r="D17" s="20">
        <v>0.622</v>
      </c>
      <c r="E17" s="20">
        <f t="shared" si="1"/>
        <v>0.1231733425712094</v>
      </c>
      <c r="F17" s="11">
        <v>30</v>
      </c>
      <c r="G17" s="194">
        <v>3.71</v>
      </c>
      <c r="H17" s="48">
        <f t="shared" ref="H17:H22" si="4">(G17*F17*10^(-3))/E17</f>
        <v>0.90360460856743297</v>
      </c>
      <c r="I17" s="329">
        <f>AVERAGE(H17:H18)</f>
        <v>0.89503868846953838</v>
      </c>
      <c r="J17" s="259">
        <f>_xlfn.STDEV.S(H17:H18)/AVERAGE(H17:H18)*100</f>
        <v>1.3534655577136072</v>
      </c>
      <c r="K17" s="259">
        <f t="shared" ref="K17" si="5">I17/$L$20*100</f>
        <v>12.79557549854729</v>
      </c>
      <c r="N17" s="183" t="s">
        <v>158</v>
      </c>
      <c r="O17" s="181">
        <v>3.24</v>
      </c>
      <c r="P17" s="182">
        <v>0.36</v>
      </c>
    </row>
    <row r="18" spans="2:16" ht="15" thickBot="1" x14ac:dyDescent="0.35">
      <c r="B18" s="295"/>
      <c r="C18" s="30" t="s">
        <v>62</v>
      </c>
      <c r="D18" s="22">
        <v>0.55369999999999997</v>
      </c>
      <c r="E18" s="22">
        <f t="shared" si="1"/>
        <v>0.10964803823421003</v>
      </c>
      <c r="F18" s="31">
        <v>30</v>
      </c>
      <c r="G18" s="195">
        <v>3.24</v>
      </c>
      <c r="H18" s="192">
        <f t="shared" si="4"/>
        <v>0.88647276837164379</v>
      </c>
      <c r="I18" s="330"/>
      <c r="J18" s="260"/>
      <c r="K18" s="267"/>
      <c r="N18" s="183" t="s">
        <v>159</v>
      </c>
      <c r="O18" s="181">
        <v>2.08</v>
      </c>
      <c r="P18" s="182">
        <v>0.08</v>
      </c>
    </row>
    <row r="19" spans="2:16" ht="14.4" customHeight="1" thickBot="1" x14ac:dyDescent="0.35">
      <c r="B19" s="308" t="s">
        <v>146</v>
      </c>
      <c r="C19" s="29" t="s">
        <v>61</v>
      </c>
      <c r="D19" s="196" t="s">
        <v>86</v>
      </c>
      <c r="E19" s="1">
        <v>6.4500000000000002E-2</v>
      </c>
      <c r="F19" s="20">
        <v>30.277100000000001</v>
      </c>
      <c r="G19" s="194">
        <v>2.08</v>
      </c>
      <c r="H19" s="125">
        <f t="shared" si="4"/>
        <v>0.97637779844961248</v>
      </c>
      <c r="I19" s="280">
        <f>AVERAGE(H19:H20)</f>
        <v>1.1478029299940369</v>
      </c>
      <c r="J19" s="259">
        <f>_xlfn.STDEV.S(H19:H20)/AVERAGE(H19:H20)*100</f>
        <v>21.121373680669812</v>
      </c>
      <c r="K19" s="259">
        <f t="shared" ref="K19" si="6">I19/$L$20*100</f>
        <v>16.409122016061698</v>
      </c>
      <c r="L19" s="157">
        <f>SUM(K11:K20)</f>
        <v>100.00000000000001</v>
      </c>
      <c r="M19" t="s">
        <v>160</v>
      </c>
      <c r="N19" s="183" t="s">
        <v>161</v>
      </c>
      <c r="O19" s="181">
        <v>1.42</v>
      </c>
      <c r="P19" s="182">
        <v>0.06</v>
      </c>
    </row>
    <row r="20" spans="2:16" ht="15" customHeight="1" thickBot="1" x14ac:dyDescent="0.35">
      <c r="B20" s="310"/>
      <c r="C20" s="30" t="s">
        <v>62</v>
      </c>
      <c r="D20" s="197" t="s">
        <v>86</v>
      </c>
      <c r="E20" s="22">
        <v>3.2500000000000001E-2</v>
      </c>
      <c r="F20" s="3">
        <v>30.1936</v>
      </c>
      <c r="G20" s="195">
        <v>1.42</v>
      </c>
      <c r="H20" s="125">
        <f t="shared" si="4"/>
        <v>1.3192280615384613</v>
      </c>
      <c r="I20" s="282"/>
      <c r="J20" s="260"/>
      <c r="K20" s="267"/>
      <c r="L20" s="157">
        <f>SUM(I11,I13,I15,I17,I19)</f>
        <v>6.9949076426547139</v>
      </c>
      <c r="M20" s="174">
        <f>ABS(I21-L20)/I21</f>
        <v>1.5019156792314244E-2</v>
      </c>
      <c r="N20" s="183" t="s">
        <v>162</v>
      </c>
      <c r="O20" s="181">
        <v>48.8</v>
      </c>
      <c r="P20" s="182">
        <v>34.299999999999997</v>
      </c>
    </row>
    <row r="21" spans="2:16" ht="15" thickBot="1" x14ac:dyDescent="0.35">
      <c r="B21" s="317" t="s">
        <v>147</v>
      </c>
      <c r="C21" s="29" t="s">
        <v>61</v>
      </c>
      <c r="D21" s="196" t="s">
        <v>86</v>
      </c>
      <c r="E21" s="1">
        <v>0.2271</v>
      </c>
      <c r="F21" s="20">
        <v>32.594799999999999</v>
      </c>
      <c r="G21" s="194">
        <v>48.8</v>
      </c>
      <c r="H21" s="155">
        <f t="shared" si="4"/>
        <v>7.0040785557023337</v>
      </c>
      <c r="I21" s="327">
        <f>AVERAGE(H21:H22)</f>
        <v>6.8914045570924731</v>
      </c>
      <c r="J21" s="259">
        <f>_xlfn.STDEV.S(H21:H22)/AVERAGE(H21:H22)*100</f>
        <v>2.3122296135825779</v>
      </c>
      <c r="K21" s="259">
        <f>I21/I21*100</f>
        <v>100</v>
      </c>
      <c r="N21" s="184" t="s">
        <v>163</v>
      </c>
      <c r="O21" s="185">
        <v>19.7</v>
      </c>
      <c r="P21" s="186">
        <v>14.3</v>
      </c>
    </row>
    <row r="22" spans="2:16" ht="15" thickBot="1" x14ac:dyDescent="0.35">
      <c r="B22" s="318"/>
      <c r="C22" s="30" t="s">
        <v>62</v>
      </c>
      <c r="D22" s="198" t="s">
        <v>86</v>
      </c>
      <c r="E22" s="22">
        <v>9.4899999999999998E-2</v>
      </c>
      <c r="F22" s="22">
        <v>32.654899999999998</v>
      </c>
      <c r="G22" s="195">
        <v>19.7</v>
      </c>
      <c r="H22" s="156">
        <f t="shared" si="4"/>
        <v>6.7787305584826134</v>
      </c>
      <c r="I22" s="328"/>
      <c r="J22" s="260"/>
      <c r="K22" s="260"/>
    </row>
    <row r="23" spans="2:16" ht="15" thickBot="1" x14ac:dyDescent="0.35"/>
    <row r="24" spans="2:16" ht="16.2" thickBot="1" x14ac:dyDescent="0.35">
      <c r="B24" s="4" t="s">
        <v>46</v>
      </c>
    </row>
    <row r="25" spans="2:16" ht="15" thickBot="1" x14ac:dyDescent="0.35">
      <c r="B25" s="209" t="s">
        <v>72</v>
      </c>
      <c r="C25" s="47" t="s">
        <v>73</v>
      </c>
      <c r="D25" s="47" t="s">
        <v>74</v>
      </c>
      <c r="E25" s="47" t="s">
        <v>75</v>
      </c>
      <c r="F25" s="122" t="s">
        <v>76</v>
      </c>
      <c r="G25" s="47" t="s">
        <v>87</v>
      </c>
      <c r="H25" s="124" t="s">
        <v>88</v>
      </c>
      <c r="I25" s="46" t="s">
        <v>142</v>
      </c>
      <c r="J25" s="47" t="s">
        <v>80</v>
      </c>
      <c r="K25" s="47" t="s">
        <v>81</v>
      </c>
      <c r="L25" s="202" t="s">
        <v>150</v>
      </c>
    </row>
    <row r="26" spans="2:16" ht="15" thickBot="1" x14ac:dyDescent="0.35">
      <c r="B26" s="321" t="s">
        <v>143</v>
      </c>
      <c r="C26" s="29" t="s">
        <v>61</v>
      </c>
      <c r="D26" s="20">
        <v>0.622</v>
      </c>
      <c r="E26" s="20">
        <f>D26*$L$7</f>
        <v>0.1231733425712094</v>
      </c>
      <c r="F26" s="11">
        <v>30</v>
      </c>
      <c r="G26" s="194">
        <v>15.3</v>
      </c>
      <c r="H26" s="188">
        <f>(G26*F26*10^(-3))/E26</f>
        <v>3.7264556633643462</v>
      </c>
      <c r="I26" s="323">
        <f>AVERAGE(H26:H27)</f>
        <v>3.7510865050662292</v>
      </c>
      <c r="J26" s="259">
        <f>_xlfn.STDEV.S(H26:H27)/AVERAGE(H26:H27)*100</f>
        <v>0.92861815744376552</v>
      </c>
      <c r="K26" s="259">
        <f>I26/$L$35*100</f>
        <v>69.941690834649322</v>
      </c>
      <c r="L26" s="157">
        <f>SUM(K26:K29)</f>
        <v>94.453140459383093</v>
      </c>
    </row>
    <row r="27" spans="2:16" ht="15" thickBot="1" x14ac:dyDescent="0.35">
      <c r="B27" s="322"/>
      <c r="C27" s="30" t="s">
        <v>62</v>
      </c>
      <c r="D27" s="22">
        <v>0.55369999999999997</v>
      </c>
      <c r="E27" s="22">
        <f t="shared" ref="E27:E33" si="7">D27*$L$7</f>
        <v>0.10964803823421003</v>
      </c>
      <c r="F27" s="31">
        <v>30</v>
      </c>
      <c r="G27" s="195">
        <v>13.8</v>
      </c>
      <c r="H27" s="188">
        <f t="shared" ref="H27" si="8">(G27*F27*10^(-3))/E27</f>
        <v>3.7757173467681122</v>
      </c>
      <c r="I27" s="324"/>
      <c r="J27" s="267"/>
      <c r="K27" s="267"/>
    </row>
    <row r="28" spans="2:16" x14ac:dyDescent="0.3">
      <c r="B28" s="288" t="s">
        <v>133</v>
      </c>
      <c r="C28" s="29" t="s">
        <v>61</v>
      </c>
      <c r="D28" s="20">
        <v>0.622</v>
      </c>
      <c r="E28" s="20">
        <f t="shared" si="7"/>
        <v>0.1231733425712094</v>
      </c>
      <c r="F28" s="11">
        <v>30</v>
      </c>
      <c r="G28" s="194">
        <v>5.56</v>
      </c>
      <c r="H28" s="127">
        <f>(G28*F28*10^(-3))/E28</f>
        <v>1.3541891168827296</v>
      </c>
      <c r="I28" s="311">
        <f>AVERAGE(H28:H29)</f>
        <v>1.314588864091343</v>
      </c>
      <c r="J28" s="259">
        <f>_xlfn.STDEV.S(H28:H29)/AVERAGE(H28:H29)*100</f>
        <v>4.2601315210205835</v>
      </c>
      <c r="K28" s="259">
        <f t="shared" ref="K28" si="9">I28/$L$35*100</f>
        <v>24.511449624733775</v>
      </c>
    </row>
    <row r="29" spans="2:16" ht="15" thickBot="1" x14ac:dyDescent="0.35">
      <c r="B29" s="289"/>
      <c r="C29" s="30" t="s">
        <v>62</v>
      </c>
      <c r="D29" s="22">
        <v>0.55369999999999997</v>
      </c>
      <c r="E29" s="22">
        <f t="shared" si="7"/>
        <v>0.10964803823421003</v>
      </c>
      <c r="F29" s="31">
        <v>30</v>
      </c>
      <c r="G29" s="195">
        <v>4.66</v>
      </c>
      <c r="H29" s="128">
        <f t="shared" ref="H29:H33" si="10">(G29*F29*10^(-3))/E29</f>
        <v>1.2749886112999567</v>
      </c>
      <c r="I29" s="312"/>
      <c r="J29" s="267"/>
      <c r="K29" s="267"/>
    </row>
    <row r="30" spans="2:16" x14ac:dyDescent="0.3">
      <c r="B30" s="291" t="s">
        <v>144</v>
      </c>
      <c r="C30" s="29" t="s">
        <v>61</v>
      </c>
      <c r="D30" s="20">
        <v>0.622</v>
      </c>
      <c r="E30" s="20">
        <f t="shared" si="7"/>
        <v>0.1231733425712094</v>
      </c>
      <c r="F30" s="11">
        <v>30</v>
      </c>
      <c r="G30" s="194">
        <v>0.62</v>
      </c>
      <c r="H30" s="129">
        <f t="shared" si="10"/>
        <v>0.1510067000840454</v>
      </c>
      <c r="I30" s="313">
        <f>AVERAGE(H30:H31)</f>
        <v>0.14800806720822196</v>
      </c>
      <c r="J30" s="259">
        <f t="shared" ref="J30" si="11">_xlfn.STDEV.S(H30:H31)/AVERAGE(H30:H31)*100</f>
        <v>2.8651865817566566</v>
      </c>
      <c r="K30" s="259">
        <f t="shared" ref="K30" si="12">I30/$L$35*100</f>
        <v>2.7597162751992266</v>
      </c>
    </row>
    <row r="31" spans="2:16" ht="15" thickBot="1" x14ac:dyDescent="0.35">
      <c r="B31" s="292"/>
      <c r="C31" s="30" t="s">
        <v>62</v>
      </c>
      <c r="D31" s="22">
        <v>0.55369999999999997</v>
      </c>
      <c r="E31" s="22">
        <f t="shared" si="7"/>
        <v>0.10964803823421003</v>
      </c>
      <c r="F31" s="31">
        <v>30</v>
      </c>
      <c r="G31" s="195">
        <v>0.53</v>
      </c>
      <c r="H31" s="130">
        <f t="shared" si="10"/>
        <v>0.14500943433239852</v>
      </c>
      <c r="I31" s="314"/>
      <c r="J31" s="267"/>
      <c r="K31" s="267"/>
    </row>
    <row r="32" spans="2:16" x14ac:dyDescent="0.3">
      <c r="B32" s="294" t="s">
        <v>145</v>
      </c>
      <c r="C32" s="29" t="s">
        <v>61</v>
      </c>
      <c r="D32" s="20">
        <v>0.622</v>
      </c>
      <c r="E32" s="20">
        <f t="shared" si="7"/>
        <v>0.1231733425712094</v>
      </c>
      <c r="F32" s="11">
        <v>30</v>
      </c>
      <c r="G32" s="194">
        <v>0.44</v>
      </c>
      <c r="H32" s="48">
        <f t="shared" si="10"/>
        <v>0.10716604522093544</v>
      </c>
      <c r="I32" s="257">
        <f>AVERAGE(H32:H33)</f>
        <v>0.1028315097422257</v>
      </c>
      <c r="J32" s="259">
        <f t="shared" ref="J32" si="13">_xlfn.STDEV.S(H32:H33)/AVERAGE(H32:H33)*100</f>
        <v>5.961167813197557</v>
      </c>
      <c r="K32" s="259">
        <f t="shared" ref="K32" si="14">I32/$L$35*100</f>
        <v>1.9173670489169361</v>
      </c>
    </row>
    <row r="33" spans="2:13" ht="15" thickBot="1" x14ac:dyDescent="0.35">
      <c r="B33" s="295"/>
      <c r="C33" s="30" t="s">
        <v>62</v>
      </c>
      <c r="D33" s="22">
        <v>0.55369999999999997</v>
      </c>
      <c r="E33" s="22">
        <f t="shared" si="7"/>
        <v>0.10964803823421003</v>
      </c>
      <c r="F33" s="31">
        <v>30</v>
      </c>
      <c r="G33" s="195">
        <v>0.36</v>
      </c>
      <c r="H33" s="192">
        <f t="shared" si="10"/>
        <v>9.849697426351596E-2</v>
      </c>
      <c r="I33" s="258"/>
      <c r="J33" s="267"/>
      <c r="K33" s="267"/>
    </row>
    <row r="34" spans="2:13" ht="14.4" customHeight="1" x14ac:dyDescent="0.3">
      <c r="B34" s="308" t="s">
        <v>146</v>
      </c>
      <c r="C34" s="29" t="s">
        <v>61</v>
      </c>
      <c r="D34" s="199" t="s">
        <v>86</v>
      </c>
      <c r="E34" s="1">
        <f>E19</f>
        <v>6.4500000000000002E-2</v>
      </c>
      <c r="F34" s="20">
        <f>F19</f>
        <v>30.277100000000001</v>
      </c>
      <c r="G34" s="194">
        <v>0.08</v>
      </c>
      <c r="H34" s="125">
        <f>(G34*F34*10^(-3))/E34</f>
        <v>3.7552992248062016E-2</v>
      </c>
      <c r="I34" s="280">
        <f>AVERAGE(H34:H35)</f>
        <v>4.6647511508646392E-2</v>
      </c>
      <c r="J34" s="259">
        <f>_xlfn.STDEV.S(H34:H35)/AVERAGE(H34:H35)*100</f>
        <v>27.571872680062992</v>
      </c>
      <c r="K34" s="259">
        <f t="shared" ref="K34" si="15">I34/$L$35*100</f>
        <v>0.86977621650074077</v>
      </c>
      <c r="L34" s="157">
        <f>SUM(K26:K35)</f>
        <v>99.999999999999986</v>
      </c>
      <c r="M34" t="s">
        <v>160</v>
      </c>
    </row>
    <row r="35" spans="2:13" ht="15" customHeight="1" thickBot="1" x14ac:dyDescent="0.35">
      <c r="B35" s="310"/>
      <c r="C35" s="30" t="s">
        <v>62</v>
      </c>
      <c r="D35" s="200" t="s">
        <v>86</v>
      </c>
      <c r="E35" s="22">
        <f>E20</f>
        <v>3.2500000000000001E-2</v>
      </c>
      <c r="F35" s="22">
        <f t="shared" ref="F35" si="16">F20</f>
        <v>30.1936</v>
      </c>
      <c r="G35" s="195">
        <v>0.06</v>
      </c>
      <c r="H35" s="193">
        <f t="shared" ref="H35:H37" si="17">(G35*F35*10^(-3))/E35</f>
        <v>5.574203076923076E-2</v>
      </c>
      <c r="I35" s="282"/>
      <c r="J35" s="267"/>
      <c r="K35" s="267"/>
      <c r="L35" s="157">
        <f>SUM(I26,I28,I30,I32,I34)</f>
        <v>5.3631624576166663</v>
      </c>
      <c r="M35" s="174">
        <f>ABS(I36-L35)/I36</f>
        <v>8.968054065695627E-2</v>
      </c>
    </row>
    <row r="36" spans="2:13" x14ac:dyDescent="0.3">
      <c r="B36" s="317" t="s">
        <v>147</v>
      </c>
      <c r="C36" s="29" t="s">
        <v>61</v>
      </c>
      <c r="D36" s="196" t="s">
        <v>86</v>
      </c>
      <c r="E36" s="163">
        <f>E21</f>
        <v>0.2271</v>
      </c>
      <c r="F36" s="20">
        <v>32.594799999999999</v>
      </c>
      <c r="G36" s="194">
        <v>34.299999999999997</v>
      </c>
      <c r="H36" s="155">
        <f>(G36*F36*10^(-3))/E36</f>
        <v>4.9229486569793037</v>
      </c>
      <c r="I36" s="319">
        <f>AVERAGE(H36:H37)</f>
        <v>4.9217750134211586</v>
      </c>
      <c r="J36" s="259">
        <f>_xlfn.STDEV.S(H36:H37)/AVERAGE(H36:H37)*100</f>
        <v>3.3723252948266585E-2</v>
      </c>
      <c r="K36" s="259">
        <f>I36/I36*100</f>
        <v>100</v>
      </c>
    </row>
    <row r="37" spans="2:13" ht="15" thickBot="1" x14ac:dyDescent="0.35">
      <c r="B37" s="318"/>
      <c r="C37" s="30" t="s">
        <v>62</v>
      </c>
      <c r="D37" s="198" t="s">
        <v>86</v>
      </c>
      <c r="E37" s="166">
        <f>E22</f>
        <v>9.4899999999999998E-2</v>
      </c>
      <c r="F37" s="22">
        <v>32.654899999999998</v>
      </c>
      <c r="G37" s="195">
        <v>14.3</v>
      </c>
      <c r="H37" s="156">
        <f t="shared" si="17"/>
        <v>4.9206013698630136</v>
      </c>
      <c r="I37" s="320"/>
      <c r="J37" s="260"/>
      <c r="K37" s="260"/>
    </row>
    <row r="38" spans="2:13" ht="15" thickBot="1" x14ac:dyDescent="0.35"/>
    <row r="39" spans="2:13" ht="15" thickBot="1" x14ac:dyDescent="0.35">
      <c r="B39" s="158" t="s">
        <v>174</v>
      </c>
      <c r="C39" s="172" t="s">
        <v>36</v>
      </c>
      <c r="D39" s="172" t="s">
        <v>46</v>
      </c>
    </row>
    <row r="40" spans="2:13" x14ac:dyDescent="0.3">
      <c r="B40" s="336" t="s">
        <v>143</v>
      </c>
      <c r="C40" s="259">
        <v>29.557819742460374</v>
      </c>
      <c r="D40" s="259">
        <v>69.941690834649322</v>
      </c>
    </row>
    <row r="41" spans="2:13" ht="15" thickBot="1" x14ac:dyDescent="0.35">
      <c r="B41" s="337"/>
      <c r="C41" s="260"/>
      <c r="D41" s="260"/>
    </row>
    <row r="42" spans="2:13" x14ac:dyDescent="0.3">
      <c r="B42" s="338" t="s">
        <v>133</v>
      </c>
      <c r="C42" s="259">
        <v>39.112952369518965</v>
      </c>
      <c r="D42" s="259">
        <v>24.511449624733775</v>
      </c>
    </row>
    <row r="43" spans="2:13" ht="15" thickBot="1" x14ac:dyDescent="0.35">
      <c r="B43" s="339"/>
      <c r="C43" s="260"/>
      <c r="D43" s="260"/>
    </row>
    <row r="44" spans="2:13" x14ac:dyDescent="0.3">
      <c r="B44" s="342" t="s">
        <v>144</v>
      </c>
      <c r="C44" s="259">
        <v>2.1245303734116745</v>
      </c>
      <c r="D44" s="259">
        <v>2.7597162751992266</v>
      </c>
    </row>
    <row r="45" spans="2:13" ht="15" thickBot="1" x14ac:dyDescent="0.35">
      <c r="B45" s="343"/>
      <c r="C45" s="260"/>
      <c r="D45" s="260"/>
    </row>
    <row r="46" spans="2:13" x14ac:dyDescent="0.3">
      <c r="B46" s="296" t="s">
        <v>145</v>
      </c>
      <c r="C46" s="259">
        <v>12.79557549854729</v>
      </c>
      <c r="D46" s="259">
        <v>1.9173670489169361</v>
      </c>
    </row>
    <row r="47" spans="2:13" ht="15" thickBot="1" x14ac:dyDescent="0.35">
      <c r="B47" s="297"/>
      <c r="C47" s="260"/>
      <c r="D47" s="260"/>
    </row>
    <row r="48" spans="2:13" x14ac:dyDescent="0.3">
      <c r="B48" s="340" t="s">
        <v>146</v>
      </c>
      <c r="C48" s="259">
        <v>16.409122016061698</v>
      </c>
      <c r="D48" s="259">
        <v>0.86977621650074077</v>
      </c>
    </row>
    <row r="49" spans="2:10" ht="15" thickBot="1" x14ac:dyDescent="0.35">
      <c r="B49" s="341"/>
      <c r="C49" s="260"/>
      <c r="D49" s="260"/>
    </row>
    <row r="51" spans="2:10" ht="15" thickBot="1" x14ac:dyDescent="0.35"/>
    <row r="52" spans="2:10" ht="16.2" thickBot="1" x14ac:dyDescent="0.35">
      <c r="B52" s="4" t="s">
        <v>164</v>
      </c>
    </row>
    <row r="53" spans="2:10" ht="15" thickBot="1" x14ac:dyDescent="0.35">
      <c r="B53" s="209" t="s">
        <v>72</v>
      </c>
      <c r="C53" s="107" t="s">
        <v>78</v>
      </c>
    </row>
    <row r="54" spans="2:10" ht="18" x14ac:dyDescent="0.3">
      <c r="B54" s="219" t="s">
        <v>143</v>
      </c>
      <c r="C54" s="108">
        <v>2.0994802495555991</v>
      </c>
      <c r="D54" s="107"/>
      <c r="E54" s="107"/>
      <c r="F54" s="107"/>
      <c r="G54" s="107"/>
      <c r="H54" s="107"/>
      <c r="I54" s="107"/>
      <c r="J54" s="107"/>
    </row>
    <row r="55" spans="2:10" ht="16.2" thickBot="1" x14ac:dyDescent="0.35">
      <c r="B55" s="220"/>
      <c r="C55" s="108">
        <v>2.0356041347793301</v>
      </c>
      <c r="D55" s="108"/>
      <c r="E55" s="108"/>
      <c r="F55" s="108"/>
      <c r="G55" s="108"/>
      <c r="H55" s="108"/>
      <c r="I55" s="108"/>
      <c r="J55" s="108"/>
    </row>
    <row r="56" spans="2:10" ht="15.6" x14ac:dyDescent="0.3">
      <c r="B56" s="216" t="s">
        <v>133</v>
      </c>
      <c r="C56" s="108">
        <v>2.7522188886285694</v>
      </c>
      <c r="D56" s="108"/>
      <c r="E56" s="108"/>
      <c r="F56" s="108"/>
      <c r="G56" s="108"/>
      <c r="H56" s="108"/>
      <c r="I56" s="108"/>
      <c r="J56" s="108"/>
    </row>
    <row r="57" spans="2:10" ht="14.4" customHeight="1" thickBot="1" x14ac:dyDescent="0.35">
      <c r="B57" s="210"/>
      <c r="C57" s="108">
        <v>2.719610900498191</v>
      </c>
    </row>
    <row r="58" spans="2:10" ht="15" customHeight="1" x14ac:dyDescent="0.3">
      <c r="B58" s="215" t="s">
        <v>144</v>
      </c>
      <c r="C58" s="108">
        <v>0.14126433233668761</v>
      </c>
    </row>
    <row r="59" spans="2:10" ht="14.4" customHeight="1" thickBot="1" x14ac:dyDescent="0.35">
      <c r="B59" s="208"/>
      <c r="C59" s="108">
        <v>0.15595354258390026</v>
      </c>
    </row>
    <row r="60" spans="2:10" ht="15" customHeight="1" x14ac:dyDescent="0.3">
      <c r="B60" s="217" t="s">
        <v>145</v>
      </c>
      <c r="C60" s="108">
        <v>0.90360460856743297</v>
      </c>
    </row>
    <row r="61" spans="2:10" ht="14.4" customHeight="1" thickBot="1" x14ac:dyDescent="0.35">
      <c r="B61" s="218"/>
      <c r="C61" s="108">
        <v>0.88647276837164379</v>
      </c>
    </row>
    <row r="62" spans="2:10" ht="15" customHeight="1" x14ac:dyDescent="0.3">
      <c r="B62" s="221" t="s">
        <v>146</v>
      </c>
      <c r="C62" s="108">
        <v>0.97637779844961248</v>
      </c>
    </row>
    <row r="63" spans="2:10" ht="14.4" customHeight="1" thickBot="1" x14ac:dyDescent="0.35">
      <c r="B63" s="222"/>
      <c r="C63" s="108">
        <v>1.3192280615384613</v>
      </c>
      <c r="D63" s="107" t="s">
        <v>165</v>
      </c>
      <c r="E63" s="107" t="s">
        <v>81</v>
      </c>
      <c r="F63" s="107" t="s">
        <v>166</v>
      </c>
      <c r="G63" s="107" t="s">
        <v>167</v>
      </c>
      <c r="H63" s="107" t="s">
        <v>168</v>
      </c>
    </row>
    <row r="64" spans="2:10" ht="15" customHeight="1" x14ac:dyDescent="0.3">
      <c r="B64" s="223" t="s">
        <v>147</v>
      </c>
      <c r="C64" s="108">
        <v>7.0040785557023337</v>
      </c>
      <c r="D64" s="157">
        <f>SUM(C54,C56,C58,C60,C62)</f>
        <v>6.8729458775379006</v>
      </c>
      <c r="E64">
        <f>D64/C64*100</f>
        <v>98.127766884372363</v>
      </c>
      <c r="F64">
        <f>_xlfn.STDEV.S(E64:E65)</f>
        <v>4.851081847398425</v>
      </c>
      <c r="G64">
        <f>6.314*F64/SQRT(2)</f>
        <v>21.658490343619668</v>
      </c>
      <c r="H64" s="9">
        <f>AVERAGE(E64:E65)</f>
        <v>101.55799975475875</v>
      </c>
    </row>
    <row r="65" spans="2:8" ht="14.4" customHeight="1" thickBot="1" x14ac:dyDescent="0.35">
      <c r="B65" s="224"/>
      <c r="C65" s="108">
        <v>6.7787305584826134</v>
      </c>
      <c r="D65" s="157">
        <f>SUM(C55,C57,C59,C61,C63)</f>
        <v>7.1168694077715262</v>
      </c>
      <c r="E65">
        <f>D65/C65*100</f>
        <v>104.98823262514514</v>
      </c>
      <c r="H65" s="9"/>
    </row>
    <row r="66" spans="2:8" ht="15" customHeight="1" thickBot="1" x14ac:dyDescent="0.35"/>
    <row r="67" spans="2:8" ht="14.4" customHeight="1" thickBot="1" x14ac:dyDescent="0.35">
      <c r="B67" s="4" t="s">
        <v>164</v>
      </c>
    </row>
    <row r="68" spans="2:8" ht="15" customHeight="1" thickBot="1" x14ac:dyDescent="0.35">
      <c r="B68" s="209" t="s">
        <v>72</v>
      </c>
      <c r="C68" s="107" t="s">
        <v>88</v>
      </c>
    </row>
    <row r="69" spans="2:8" ht="18" x14ac:dyDescent="0.3">
      <c r="B69" s="219" t="s">
        <v>143</v>
      </c>
      <c r="C69" s="108">
        <v>3.7264556633643462</v>
      </c>
    </row>
    <row r="70" spans="2:8" ht="16.2" thickBot="1" x14ac:dyDescent="0.35">
      <c r="B70" s="220"/>
      <c r="C70" s="108">
        <v>3.7757173467681122</v>
      </c>
    </row>
    <row r="71" spans="2:8" ht="15.6" x14ac:dyDescent="0.3">
      <c r="B71" s="216" t="s">
        <v>133</v>
      </c>
      <c r="C71" s="108">
        <v>1.3541891168827296</v>
      </c>
    </row>
    <row r="72" spans="2:8" ht="14.4" customHeight="1" thickBot="1" x14ac:dyDescent="0.35">
      <c r="B72" s="210"/>
      <c r="C72" s="108">
        <v>1.2749886112999567</v>
      </c>
    </row>
    <row r="73" spans="2:8" ht="15" customHeight="1" x14ac:dyDescent="0.3">
      <c r="B73" s="215" t="s">
        <v>144</v>
      </c>
      <c r="C73" s="108">
        <v>0.1510067000840454</v>
      </c>
    </row>
    <row r="74" spans="2:8" ht="14.4" customHeight="1" thickBot="1" x14ac:dyDescent="0.35">
      <c r="B74" s="208"/>
      <c r="C74" s="108">
        <v>0.14500943433239852</v>
      </c>
    </row>
    <row r="75" spans="2:8" ht="15" customHeight="1" x14ac:dyDescent="0.3">
      <c r="B75" s="217" t="s">
        <v>145</v>
      </c>
      <c r="C75" s="108">
        <v>0.10716604522093544</v>
      </c>
    </row>
    <row r="76" spans="2:8" ht="14.4" customHeight="1" thickBot="1" x14ac:dyDescent="0.35">
      <c r="B76" s="218"/>
      <c r="C76" s="108">
        <v>9.849697426351596E-2</v>
      </c>
    </row>
    <row r="77" spans="2:8" ht="15" customHeight="1" x14ac:dyDescent="0.3">
      <c r="B77" s="221" t="s">
        <v>146</v>
      </c>
      <c r="C77" s="108">
        <v>3.7552992248062016E-2</v>
      </c>
    </row>
    <row r="78" spans="2:8" ht="14.4" customHeight="1" thickBot="1" x14ac:dyDescent="0.35">
      <c r="B78" s="222"/>
      <c r="C78" s="108">
        <v>5.574203076923076E-2</v>
      </c>
      <c r="D78" s="107" t="s">
        <v>165</v>
      </c>
      <c r="E78" s="107" t="s">
        <v>81</v>
      </c>
      <c r="F78" s="107" t="s">
        <v>166</v>
      </c>
      <c r="G78" s="107" t="s">
        <v>167</v>
      </c>
      <c r="H78" s="107" t="s">
        <v>168</v>
      </c>
    </row>
    <row r="79" spans="2:8" ht="15" customHeight="1" x14ac:dyDescent="0.3">
      <c r="B79" s="325" t="s">
        <v>147</v>
      </c>
      <c r="C79" s="108">
        <v>4.9229486569793037</v>
      </c>
      <c r="D79" s="157">
        <f>SUM(C69,C71,C73,C75,C77)</f>
        <v>5.3763705178001189</v>
      </c>
      <c r="E79">
        <f>D79/C79*100</f>
        <v>109.21037151541273</v>
      </c>
      <c r="F79">
        <f>_xlfn.STDEV.S(E79:E80)</f>
        <v>0.3427703606069919</v>
      </c>
      <c r="G79">
        <f>6.314*F79/SQRT(2)</f>
        <v>1.5303573056115114</v>
      </c>
      <c r="H79" s="9">
        <f>AVERAGE(E79:E80)</f>
        <v>108.96799626903777</v>
      </c>
    </row>
    <row r="80" spans="2:8" ht="14.4" customHeight="1" thickBot="1" x14ac:dyDescent="0.35">
      <c r="B80" s="326"/>
      <c r="C80" s="108">
        <v>4.9206013698630136</v>
      </c>
      <c r="D80" s="157">
        <f>SUM(C70,C72,C74,C76,C78)</f>
        <v>5.3499543974332147</v>
      </c>
      <c r="E80">
        <f>D80/C80*100</f>
        <v>108.72562102266281</v>
      </c>
      <c r="H80" s="9"/>
    </row>
    <row r="81" spans="3:3" ht="15" customHeight="1" x14ac:dyDescent="0.3">
      <c r="C81" s="157"/>
    </row>
  </sheetData>
  <mergeCells count="65">
    <mergeCell ref="B79:B80"/>
    <mergeCell ref="B48:B49"/>
    <mergeCell ref="C48:C49"/>
    <mergeCell ref="D48:D49"/>
    <mergeCell ref="B44:B45"/>
    <mergeCell ref="C44:C45"/>
    <mergeCell ref="D44:D45"/>
    <mergeCell ref="B46:B47"/>
    <mergeCell ref="C46:C47"/>
    <mergeCell ref="D46:D47"/>
    <mergeCell ref="B40:B41"/>
    <mergeCell ref="C40:C41"/>
    <mergeCell ref="D40:D41"/>
    <mergeCell ref="B42:B43"/>
    <mergeCell ref="C42:C43"/>
    <mergeCell ref="D42:D43"/>
    <mergeCell ref="B34:B35"/>
    <mergeCell ref="I34:I35"/>
    <mergeCell ref="J34:J35"/>
    <mergeCell ref="K34:K35"/>
    <mergeCell ref="B36:B37"/>
    <mergeCell ref="I36:I37"/>
    <mergeCell ref="J36:J37"/>
    <mergeCell ref="K36:K37"/>
    <mergeCell ref="B30:B31"/>
    <mergeCell ref="I30:I31"/>
    <mergeCell ref="J30:J31"/>
    <mergeCell ref="K30:K31"/>
    <mergeCell ref="B32:B33"/>
    <mergeCell ref="I32:I33"/>
    <mergeCell ref="J32:J33"/>
    <mergeCell ref="K32:K33"/>
    <mergeCell ref="B26:B27"/>
    <mergeCell ref="I26:I27"/>
    <mergeCell ref="J26:J27"/>
    <mergeCell ref="K26:K27"/>
    <mergeCell ref="B28:B29"/>
    <mergeCell ref="I28:I29"/>
    <mergeCell ref="J28:J29"/>
    <mergeCell ref="K28:K29"/>
    <mergeCell ref="B19:B20"/>
    <mergeCell ref="I19:I20"/>
    <mergeCell ref="J19:J20"/>
    <mergeCell ref="K19:K20"/>
    <mergeCell ref="B21:B22"/>
    <mergeCell ref="I21:I22"/>
    <mergeCell ref="J21:J22"/>
    <mergeCell ref="K21:K22"/>
    <mergeCell ref="B15:B16"/>
    <mergeCell ref="I15:I16"/>
    <mergeCell ref="J15:J16"/>
    <mergeCell ref="K15:K16"/>
    <mergeCell ref="B17:B18"/>
    <mergeCell ref="I17:I18"/>
    <mergeCell ref="J17:J18"/>
    <mergeCell ref="K17:K18"/>
    <mergeCell ref="B13:B14"/>
    <mergeCell ref="I13:I14"/>
    <mergeCell ref="J13:J14"/>
    <mergeCell ref="K13:K14"/>
    <mergeCell ref="D1:G1"/>
    <mergeCell ref="B11:B12"/>
    <mergeCell ref="I11:I12"/>
    <mergeCell ref="J11:J12"/>
    <mergeCell ref="K11:K12"/>
  </mergeCells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AD63-9A79-47A7-83A0-861FFC4E1F9D}">
  <dimension ref="B1:M80"/>
  <sheetViews>
    <sheetView zoomScale="66" zoomScaleNormal="66" workbookViewId="0">
      <selection activeCell="B2" sqref="B2:G7"/>
    </sheetView>
  </sheetViews>
  <sheetFormatPr baseColWidth="10" defaultColWidth="11.5546875" defaultRowHeight="14.4" x14ac:dyDescent="0.3"/>
  <cols>
    <col min="1" max="1" width="7.5546875" customWidth="1"/>
    <col min="2" max="2" width="30.6640625" customWidth="1"/>
    <col min="3" max="3" width="33.6640625" bestFit="1" customWidth="1"/>
    <col min="4" max="4" width="16.109375" customWidth="1"/>
    <col min="5" max="5" width="14.44140625" customWidth="1"/>
    <col min="6" max="6" width="16" customWidth="1"/>
    <col min="7" max="7" width="19" bestFit="1" customWidth="1"/>
    <col min="8" max="8" width="17.109375" bestFit="1" customWidth="1"/>
    <col min="9" max="9" width="23.6640625" bestFit="1" customWidth="1"/>
    <col min="10" max="10" width="17.109375" bestFit="1" customWidth="1"/>
    <col min="12" max="12" width="14.33203125" customWidth="1"/>
  </cols>
  <sheetData>
    <row r="1" spans="2:13" ht="15" thickBot="1" x14ac:dyDescent="0.35">
      <c r="B1" s="93"/>
      <c r="C1" s="93"/>
      <c r="D1" s="331"/>
      <c r="E1" s="332"/>
      <c r="F1" s="332"/>
      <c r="G1" s="333"/>
    </row>
    <row r="2" spans="2:13" ht="16.2" thickBot="1" x14ac:dyDescent="0.35">
      <c r="B2" s="94" t="s">
        <v>177</v>
      </c>
      <c r="C2" s="98" t="s">
        <v>178</v>
      </c>
      <c r="D2" s="98" t="s">
        <v>179</v>
      </c>
      <c r="E2" s="98" t="s">
        <v>125</v>
      </c>
      <c r="F2" s="98" t="s">
        <v>126</v>
      </c>
      <c r="G2" s="98" t="s">
        <v>127</v>
      </c>
      <c r="I2" s="13" t="s">
        <v>63</v>
      </c>
      <c r="J2" s="14">
        <v>1</v>
      </c>
      <c r="K2" s="15">
        <v>2</v>
      </c>
    </row>
    <row r="3" spans="2:13" ht="25.95" customHeight="1" thickBot="1" x14ac:dyDescent="0.35">
      <c r="B3" s="97" t="s">
        <v>185</v>
      </c>
      <c r="C3" s="99" t="s">
        <v>184</v>
      </c>
      <c r="D3" s="99">
        <v>30</v>
      </c>
      <c r="E3" s="99">
        <v>7</v>
      </c>
      <c r="F3" s="99">
        <v>1</v>
      </c>
      <c r="G3" s="102" t="s">
        <v>131</v>
      </c>
      <c r="I3" s="16" t="s">
        <v>66</v>
      </c>
      <c r="J3" s="7">
        <v>9.5632999999999999</v>
      </c>
      <c r="K3" s="17">
        <v>9.5159000000000002</v>
      </c>
    </row>
    <row r="4" spans="2:13" ht="26.4" customHeight="1" thickBot="1" x14ac:dyDescent="0.35">
      <c r="B4" s="97" t="s">
        <v>186</v>
      </c>
      <c r="C4" s="99" t="s">
        <v>189</v>
      </c>
      <c r="D4" s="99">
        <v>30</v>
      </c>
      <c r="E4" s="99">
        <v>5</v>
      </c>
      <c r="F4" s="99">
        <v>1</v>
      </c>
      <c r="G4" s="102" t="s">
        <v>131</v>
      </c>
      <c r="I4" s="16" t="s">
        <v>134</v>
      </c>
      <c r="J4" s="7">
        <v>10.212199999999999</v>
      </c>
      <c r="K4" s="17">
        <v>10.5867</v>
      </c>
    </row>
    <row r="5" spans="2:13" ht="15" thickBot="1" x14ac:dyDescent="0.35">
      <c r="B5" s="97" t="s">
        <v>187</v>
      </c>
      <c r="C5" s="99" t="s">
        <v>183</v>
      </c>
      <c r="D5" s="99">
        <v>30</v>
      </c>
      <c r="E5" s="99">
        <v>2</v>
      </c>
      <c r="F5" s="99">
        <v>2</v>
      </c>
      <c r="G5" s="102" t="s">
        <v>131</v>
      </c>
      <c r="I5" s="16" t="s">
        <v>137</v>
      </c>
      <c r="J5" s="7">
        <v>9.6074000000000002</v>
      </c>
      <c r="K5" s="17">
        <v>9.5905000000000005</v>
      </c>
    </row>
    <row r="6" spans="2:13" ht="28.2" thickBot="1" x14ac:dyDescent="0.35">
      <c r="B6" s="97" t="s">
        <v>188</v>
      </c>
      <c r="C6" s="99" t="s">
        <v>181</v>
      </c>
      <c r="D6" s="99">
        <v>30</v>
      </c>
      <c r="E6" s="99">
        <v>3</v>
      </c>
      <c r="F6" s="99">
        <v>2</v>
      </c>
      <c r="G6" s="102">
        <v>85</v>
      </c>
      <c r="I6" s="16" t="s">
        <v>69</v>
      </c>
      <c r="J6" s="7">
        <f>J5-J3</f>
        <v>4.410000000000025E-2</v>
      </c>
      <c r="K6" s="7">
        <f>K5-K3</f>
        <v>7.4600000000000222E-2</v>
      </c>
    </row>
    <row r="7" spans="2:13" ht="19.95" customHeight="1" thickBot="1" x14ac:dyDescent="0.35">
      <c r="B7" s="214" t="s">
        <v>169</v>
      </c>
      <c r="C7" s="104" t="s">
        <v>182</v>
      </c>
      <c r="D7" s="345" t="s">
        <v>180</v>
      </c>
      <c r="E7" s="346"/>
      <c r="F7" s="346"/>
      <c r="G7" s="347"/>
      <c r="I7" s="18" t="s">
        <v>70</v>
      </c>
      <c r="J7" s="19">
        <f>J6/(J4-J3)</f>
        <v>6.7961165048544145E-2</v>
      </c>
      <c r="K7" s="19">
        <f>K6/(K4-K3)</f>
        <v>6.9667538289129818E-2</v>
      </c>
      <c r="L7" s="23">
        <f>AVERAGE(J7:K7)</f>
        <v>6.8814351668836982E-2</v>
      </c>
    </row>
    <row r="8" spans="2:13" ht="15" thickBot="1" x14ac:dyDescent="0.35"/>
    <row r="9" spans="2:13" ht="16.2" thickBot="1" x14ac:dyDescent="0.35">
      <c r="B9" s="4" t="s">
        <v>36</v>
      </c>
    </row>
    <row r="10" spans="2:13" ht="15" thickBot="1" x14ac:dyDescent="0.35">
      <c r="B10" s="209" t="s">
        <v>72</v>
      </c>
      <c r="C10" s="47" t="s">
        <v>73</v>
      </c>
      <c r="D10" s="47" t="s">
        <v>74</v>
      </c>
      <c r="E10" s="47" t="s">
        <v>75</v>
      </c>
      <c r="F10" s="47" t="s">
        <v>76</v>
      </c>
      <c r="G10" s="47" t="s">
        <v>77</v>
      </c>
      <c r="H10" s="47" t="s">
        <v>78</v>
      </c>
      <c r="I10" s="46" t="s">
        <v>142</v>
      </c>
      <c r="J10" s="47" t="s">
        <v>80</v>
      </c>
      <c r="K10" s="47" t="s">
        <v>170</v>
      </c>
      <c r="L10" s="158" t="s">
        <v>171</v>
      </c>
      <c r="M10" s="202" t="s">
        <v>150</v>
      </c>
    </row>
    <row r="11" spans="2:13" x14ac:dyDescent="0.3">
      <c r="B11" s="321" t="s">
        <v>143</v>
      </c>
      <c r="C11" s="29" t="s">
        <v>61</v>
      </c>
      <c r="D11" s="24">
        <v>0.63039999999999996</v>
      </c>
      <c r="E11" s="134">
        <f>D11*$L$7</f>
        <v>4.3380567292034829E-2</v>
      </c>
      <c r="F11" s="132">
        <v>30</v>
      </c>
      <c r="G11" s="11">
        <v>2.0099999999999998</v>
      </c>
      <c r="H11" s="95">
        <f>(G11*F11*10^(-3))/E11</f>
        <v>1.3900233160637292</v>
      </c>
      <c r="I11" s="323">
        <f>AVERAGE(H11:H12)</f>
        <v>1.3928823864525213</v>
      </c>
      <c r="J11" s="259">
        <f>_xlfn.STDEV.S(H11:H12)/AVERAGE(H11:H12)*100</f>
        <v>0.29028553730992929</v>
      </c>
      <c r="K11" s="259">
        <f>I11/$L$20*100</f>
        <v>7.2796864631037419</v>
      </c>
      <c r="M11" s="157">
        <f>SUM(K11:K14)</f>
        <v>75.77797768932264</v>
      </c>
    </row>
    <row r="12" spans="2:13" ht="15" thickBot="1" x14ac:dyDescent="0.35">
      <c r="B12" s="322"/>
      <c r="C12" s="36" t="s">
        <v>62</v>
      </c>
      <c r="D12" s="131">
        <v>0.61219999999999997</v>
      </c>
      <c r="E12" s="136">
        <f t="shared" ref="E12:E18" si="0">D12*$L$7</f>
        <v>4.2128146091661996E-2</v>
      </c>
      <c r="F12" s="133">
        <v>30</v>
      </c>
      <c r="G12" s="31">
        <v>1.96</v>
      </c>
      <c r="H12" s="96">
        <f>(G12*F12*10^(-3))/E12</f>
        <v>1.3957414568413133</v>
      </c>
      <c r="I12" s="324"/>
      <c r="J12" s="267"/>
      <c r="K12" s="260"/>
    </row>
    <row r="13" spans="2:13" x14ac:dyDescent="0.3">
      <c r="B13" s="288" t="s">
        <v>133</v>
      </c>
      <c r="C13" s="29" t="s">
        <v>61</v>
      </c>
      <c r="D13" s="24">
        <v>0.63039999999999996</v>
      </c>
      <c r="E13" s="134">
        <f t="shared" si="0"/>
        <v>4.3380567292034829E-2</v>
      </c>
      <c r="F13" s="132">
        <v>30</v>
      </c>
      <c r="G13" s="11">
        <v>19.059999999999999</v>
      </c>
      <c r="H13" s="33">
        <f t="shared" ref="H13:H22" si="1">(G13*F13*10^(-3))/E13</f>
        <v>13.181017116504814</v>
      </c>
      <c r="I13" s="311">
        <f>AVERAGE(H13:H14)</f>
        <v>13.106342400139152</v>
      </c>
      <c r="J13" s="259">
        <f>_xlfn.STDEV.S(H13:H14)/AVERAGE(H13:H14)*100</f>
        <v>0.80576253409618737</v>
      </c>
      <c r="K13" s="259">
        <f>I13/$L$20*100</f>
        <v>68.498291226218896</v>
      </c>
    </row>
    <row r="14" spans="2:13" ht="15" thickBot="1" x14ac:dyDescent="0.35">
      <c r="B14" s="289"/>
      <c r="C14" s="36" t="s">
        <v>62</v>
      </c>
      <c r="D14" s="131">
        <v>0.61219999999999997</v>
      </c>
      <c r="E14" s="136">
        <f t="shared" si="0"/>
        <v>4.2128146091661996E-2</v>
      </c>
      <c r="F14" s="133">
        <v>30</v>
      </c>
      <c r="G14" s="26">
        <v>18.3</v>
      </c>
      <c r="H14" s="39">
        <f t="shared" si="1"/>
        <v>13.031667683773488</v>
      </c>
      <c r="I14" s="312"/>
      <c r="J14" s="267"/>
      <c r="K14" s="260"/>
    </row>
    <row r="15" spans="2:13" x14ac:dyDescent="0.3">
      <c r="B15" s="291" t="s">
        <v>144</v>
      </c>
      <c r="C15" s="29" t="s">
        <v>61</v>
      </c>
      <c r="D15" s="24">
        <v>0.63039999999999996</v>
      </c>
      <c r="E15" s="134">
        <f t="shared" si="0"/>
        <v>4.3380567292034829E-2</v>
      </c>
      <c r="F15" s="132">
        <v>30</v>
      </c>
      <c r="G15" s="11">
        <v>1.33</v>
      </c>
      <c r="H15" s="35">
        <f t="shared" si="1"/>
        <v>0.91976667182326366</v>
      </c>
      <c r="I15" s="313">
        <f>AVERAGE(H15:H16)</f>
        <v>0.92275677823145519</v>
      </c>
      <c r="J15" s="259">
        <f>_xlfn.STDEV.S(H15:H16)/AVERAGE(H15:H16)*100</f>
        <v>0.45826258177238649</v>
      </c>
      <c r="K15" s="259">
        <f>I15/$L$20*100</f>
        <v>4.8226469747650293</v>
      </c>
    </row>
    <row r="16" spans="2:13" ht="15" thickBot="1" x14ac:dyDescent="0.35">
      <c r="B16" s="292"/>
      <c r="C16" s="36" t="s">
        <v>62</v>
      </c>
      <c r="D16" s="131">
        <v>0.61219999999999997</v>
      </c>
      <c r="E16" s="136">
        <f t="shared" si="0"/>
        <v>4.2128146091661996E-2</v>
      </c>
      <c r="F16" s="133">
        <v>30</v>
      </c>
      <c r="G16" s="26">
        <v>1.3</v>
      </c>
      <c r="H16" s="41">
        <f t="shared" si="1"/>
        <v>0.92574688463964672</v>
      </c>
      <c r="I16" s="314"/>
      <c r="J16" s="267"/>
      <c r="K16" s="260"/>
    </row>
    <row r="17" spans="2:13" x14ac:dyDescent="0.3">
      <c r="B17" s="294" t="s">
        <v>145</v>
      </c>
      <c r="C17" s="29" t="s">
        <v>61</v>
      </c>
      <c r="D17" s="24">
        <v>0.63039999999999996</v>
      </c>
      <c r="E17" s="134">
        <f t="shared" si="0"/>
        <v>4.3380567292034829E-2</v>
      </c>
      <c r="F17" s="132">
        <v>30</v>
      </c>
      <c r="G17" s="11">
        <v>4.97</v>
      </c>
      <c r="H17" s="34">
        <f t="shared" si="1"/>
        <v>3.4370228262869325</v>
      </c>
      <c r="I17" s="257">
        <f>AVERAGE(H17:H18)</f>
        <v>3.4453854094904992</v>
      </c>
      <c r="J17" s="259">
        <f>_xlfn.STDEV.S(H17:H18)/AVERAGE(H17:H18)*100</f>
        <v>0.34325560648109765</v>
      </c>
      <c r="K17" s="259">
        <f>I17/$L$20*100</f>
        <v>18.006779157802256</v>
      </c>
    </row>
    <row r="18" spans="2:13" ht="15" thickBot="1" x14ac:dyDescent="0.35">
      <c r="B18" s="295"/>
      <c r="C18" s="30" t="s">
        <v>62</v>
      </c>
      <c r="D18" s="131">
        <v>0.61219999999999997</v>
      </c>
      <c r="E18" s="136">
        <f t="shared" si="0"/>
        <v>4.2128146091661996E-2</v>
      </c>
      <c r="F18" s="137">
        <v>30</v>
      </c>
      <c r="G18" s="27">
        <v>4.8499999999999996</v>
      </c>
      <c r="H18" s="43">
        <f t="shared" si="1"/>
        <v>3.4537479926940664</v>
      </c>
      <c r="I18" s="258"/>
      <c r="J18" s="260"/>
      <c r="K18" s="260"/>
    </row>
    <row r="19" spans="2:13" ht="15" customHeight="1" thickBot="1" x14ac:dyDescent="0.35">
      <c r="B19" s="308" t="s">
        <v>146</v>
      </c>
      <c r="C19" s="29" t="s">
        <v>61</v>
      </c>
      <c r="D19" s="1" t="s">
        <v>86</v>
      </c>
      <c r="E19" s="143">
        <v>2E-3</v>
      </c>
      <c r="F19" s="20">
        <v>22.665700000000001</v>
      </c>
      <c r="G19" s="11">
        <v>0.02</v>
      </c>
      <c r="H19" s="32">
        <f t="shared" si="1"/>
        <v>0.22665700000000003</v>
      </c>
      <c r="I19" s="315">
        <f>AVERAGE(H19:H20)</f>
        <v>0.2664569</v>
      </c>
      <c r="J19" s="259">
        <f>_xlfn.STDEV.S(H19:H20)/AVERAGE(H19:H20)*100</f>
        <v>21.12370081656465</v>
      </c>
      <c r="K19" s="259">
        <f>I19/$L$20*100</f>
        <v>1.3925961781100504</v>
      </c>
    </row>
    <row r="20" spans="2:13" ht="15" customHeight="1" thickBot="1" x14ac:dyDescent="0.35">
      <c r="B20" s="310"/>
      <c r="C20" s="30" t="s">
        <v>62</v>
      </c>
      <c r="D20" s="159" t="s">
        <v>86</v>
      </c>
      <c r="E20" s="22">
        <v>5.0000000000000001E-3</v>
      </c>
      <c r="F20" s="3">
        <v>25.5214</v>
      </c>
      <c r="G20" s="31">
        <v>0.06</v>
      </c>
      <c r="H20" s="38">
        <f t="shared" si="1"/>
        <v>0.3062568</v>
      </c>
      <c r="I20" s="344"/>
      <c r="J20" s="260"/>
      <c r="K20" s="260"/>
      <c r="L20" s="165">
        <f>SUM(I11,I13,I15,I17,I19)</f>
        <v>19.133823874313631</v>
      </c>
      <c r="M20" s="174">
        <f>ABS(I21-L20)/I21</f>
        <v>2.8121414399890778E-2</v>
      </c>
    </row>
    <row r="21" spans="2:13" x14ac:dyDescent="0.3">
      <c r="B21" s="325" t="s">
        <v>147</v>
      </c>
      <c r="C21" s="29" t="s">
        <v>61</v>
      </c>
      <c r="D21" s="1" t="s">
        <v>86</v>
      </c>
      <c r="E21" s="1">
        <v>8.9800000000000005E-2</v>
      </c>
      <c r="F21" s="1">
        <v>30.072199999999999</v>
      </c>
      <c r="G21" s="11">
        <v>55.018848419189403</v>
      </c>
      <c r="H21" s="34">
        <f t="shared" si="1"/>
        <v>18.424697254248855</v>
      </c>
      <c r="I21" s="327">
        <f>AVERAGE(H21:H22)</f>
        <v>18.610471104214813</v>
      </c>
      <c r="J21" s="259">
        <f>_xlfn.STDEV.S(H21:H22)/AVERAGE(H21:H22)*100</f>
        <v>1.4116993421871098</v>
      </c>
      <c r="K21" s="259">
        <f>I21/I21*100</f>
        <v>100</v>
      </c>
    </row>
    <row r="22" spans="2:13" ht="15" thickBot="1" x14ac:dyDescent="0.35">
      <c r="B22" s="326"/>
      <c r="C22" s="30" t="s">
        <v>62</v>
      </c>
      <c r="D22" s="3" t="s">
        <v>86</v>
      </c>
      <c r="E22" s="3">
        <v>8.2600000000000007E-2</v>
      </c>
      <c r="F22" s="3">
        <v>30.996400000000001</v>
      </c>
      <c r="G22" s="31">
        <v>50.088714599609375</v>
      </c>
      <c r="H22" s="43">
        <f t="shared" si="1"/>
        <v>18.796244954180771</v>
      </c>
      <c r="I22" s="328"/>
      <c r="J22" s="260"/>
      <c r="K22" s="260"/>
    </row>
    <row r="23" spans="2:13" ht="15" thickBot="1" x14ac:dyDescent="0.35"/>
    <row r="24" spans="2:13" ht="15" customHeight="1" thickBot="1" x14ac:dyDescent="0.35">
      <c r="B24" s="4" t="s">
        <v>46</v>
      </c>
    </row>
    <row r="25" spans="2:13" ht="15" customHeight="1" thickBot="1" x14ac:dyDescent="0.35">
      <c r="B25" s="209" t="s">
        <v>72</v>
      </c>
      <c r="C25" s="47" t="s">
        <v>73</v>
      </c>
      <c r="D25" s="47" t="s">
        <v>74</v>
      </c>
      <c r="E25" s="47" t="s">
        <v>75</v>
      </c>
      <c r="F25" s="47" t="s">
        <v>76</v>
      </c>
      <c r="G25" s="47" t="s">
        <v>87</v>
      </c>
      <c r="H25" s="47" t="s">
        <v>88</v>
      </c>
      <c r="I25" s="46" t="s">
        <v>142</v>
      </c>
      <c r="J25" s="47" t="s">
        <v>80</v>
      </c>
      <c r="K25" s="47" t="s">
        <v>172</v>
      </c>
      <c r="L25" s="158" t="s">
        <v>171</v>
      </c>
      <c r="M25" s="202" t="s">
        <v>150</v>
      </c>
    </row>
    <row r="26" spans="2:13" x14ac:dyDescent="0.3">
      <c r="B26" s="321" t="s">
        <v>143</v>
      </c>
      <c r="C26" s="29" t="s">
        <v>61</v>
      </c>
      <c r="D26" s="24">
        <v>0.63039999999999996</v>
      </c>
      <c r="E26" s="134">
        <f>D26*$L$7</f>
        <v>4.3380567292034829E-2</v>
      </c>
      <c r="F26" s="132">
        <v>30</v>
      </c>
      <c r="G26" s="11">
        <v>7.59</v>
      </c>
      <c r="H26" s="95">
        <f>(G26*F26*10^(-3))/E26</f>
        <v>5.2488940143899026</v>
      </c>
      <c r="I26" s="323">
        <f>AVERAGE(H26:H27)</f>
        <v>5.1702509399539798</v>
      </c>
      <c r="J26" s="259">
        <f>_xlfn.STDEV.S(H26:H27)/AVERAGE(H26:H27)*100</f>
        <v>2.151116140118893</v>
      </c>
      <c r="K26" s="259">
        <f>I26/$L$35*100</f>
        <v>22.971864347461427</v>
      </c>
      <c r="M26" s="157">
        <f>SUM(K26:K29)</f>
        <v>92.675711647343121</v>
      </c>
    </row>
    <row r="27" spans="2:13" ht="15" thickBot="1" x14ac:dyDescent="0.35">
      <c r="B27" s="322"/>
      <c r="C27" s="36" t="s">
        <v>62</v>
      </c>
      <c r="D27" s="131">
        <v>0.61219999999999997</v>
      </c>
      <c r="E27" s="136">
        <f t="shared" ref="E27:E33" si="2">D27*$L$7</f>
        <v>4.2128146091661996E-2</v>
      </c>
      <c r="F27" s="133">
        <v>30</v>
      </c>
      <c r="G27" s="26">
        <v>7.15</v>
      </c>
      <c r="H27" s="96">
        <f>(G27*F27*10^(-3))/E27</f>
        <v>5.091607865518057</v>
      </c>
      <c r="I27" s="324"/>
      <c r="J27" s="267"/>
      <c r="K27" s="260"/>
    </row>
    <row r="28" spans="2:13" x14ac:dyDescent="0.3">
      <c r="B28" s="288" t="s">
        <v>133</v>
      </c>
      <c r="C28" s="29" t="s">
        <v>61</v>
      </c>
      <c r="D28" s="201">
        <v>0.63039999999999996</v>
      </c>
      <c r="E28" s="134">
        <f t="shared" si="2"/>
        <v>4.3380567292034829E-2</v>
      </c>
      <c r="F28" s="132">
        <v>30</v>
      </c>
      <c r="G28" s="11">
        <v>22.83</v>
      </c>
      <c r="H28" s="33">
        <f t="shared" ref="H28:H35" si="3">(G28*F28*10^(-3))/E28</f>
        <v>15.788175276485042</v>
      </c>
      <c r="I28" s="311">
        <f>AVERAGE(H28:H29)</f>
        <v>15.688164293920163</v>
      </c>
      <c r="J28" s="259">
        <f>_xlfn.STDEV.S(H28:H29)/AVERAGE(H28:H29)*100</f>
        <v>0.90155154726626907</v>
      </c>
      <c r="K28" s="259">
        <f t="shared" ref="K28" si="4">I28/$L$35*100</f>
        <v>69.703847299881687</v>
      </c>
    </row>
    <row r="29" spans="2:13" ht="15" thickBot="1" x14ac:dyDescent="0.35">
      <c r="B29" s="289"/>
      <c r="C29" s="36" t="s">
        <v>62</v>
      </c>
      <c r="D29" s="131">
        <v>0.61219999999999997</v>
      </c>
      <c r="E29" s="136">
        <f t="shared" si="2"/>
        <v>4.2128146091661996E-2</v>
      </c>
      <c r="F29" s="133">
        <v>30</v>
      </c>
      <c r="G29" s="26">
        <v>21.89</v>
      </c>
      <c r="H29" s="39">
        <f t="shared" si="3"/>
        <v>15.588153311355283</v>
      </c>
      <c r="I29" s="312"/>
      <c r="J29" s="267"/>
      <c r="K29" s="260"/>
    </row>
    <row r="30" spans="2:13" x14ac:dyDescent="0.3">
      <c r="B30" s="291" t="s">
        <v>144</v>
      </c>
      <c r="C30" s="29" t="s">
        <v>61</v>
      </c>
      <c r="D30" s="24">
        <v>0.63039999999999996</v>
      </c>
      <c r="E30" s="134">
        <f t="shared" si="2"/>
        <v>4.3380567292034829E-2</v>
      </c>
      <c r="F30" s="132">
        <v>30</v>
      </c>
      <c r="G30" s="11">
        <v>1.79</v>
      </c>
      <c r="H30" s="35">
        <f t="shared" si="3"/>
        <v>1.2378814605741668</v>
      </c>
      <c r="I30" s="313">
        <f>AVERAGE(H30:H31)</f>
        <v>1.2171156403619321</v>
      </c>
      <c r="J30" s="259">
        <f>_xlfn.STDEV.S(H30:H31)/AVERAGE(H30:H31)*100</f>
        <v>2.4128606686223151</v>
      </c>
      <c r="K30" s="259">
        <f t="shared" ref="K30" si="5">I30/$L$35*100</f>
        <v>5.4077482331673474</v>
      </c>
    </row>
    <row r="31" spans="2:13" ht="15" thickBot="1" x14ac:dyDescent="0.35">
      <c r="B31" s="292"/>
      <c r="C31" s="36" t="s">
        <v>62</v>
      </c>
      <c r="D31" s="131">
        <v>0.61219999999999997</v>
      </c>
      <c r="E31" s="136">
        <f t="shared" si="2"/>
        <v>4.2128146091661996E-2</v>
      </c>
      <c r="F31" s="133">
        <v>30</v>
      </c>
      <c r="G31" s="26">
        <v>1.68</v>
      </c>
      <c r="H31" s="41">
        <f t="shared" si="3"/>
        <v>1.1963498201496974</v>
      </c>
      <c r="I31" s="314"/>
      <c r="J31" s="267"/>
      <c r="K31" s="260"/>
    </row>
    <row r="32" spans="2:13" x14ac:dyDescent="0.3">
      <c r="B32" s="294" t="s">
        <v>145</v>
      </c>
      <c r="C32" s="29" t="s">
        <v>61</v>
      </c>
      <c r="D32" s="24">
        <v>0.63039999999999996</v>
      </c>
      <c r="E32" s="134">
        <f t="shared" si="2"/>
        <v>4.3380567292034829E-2</v>
      </c>
      <c r="F32" s="132">
        <v>30</v>
      </c>
      <c r="G32" s="11">
        <v>0.44</v>
      </c>
      <c r="H32" s="34">
        <f t="shared" si="3"/>
        <v>0.30428371097912477</v>
      </c>
      <c r="I32" s="257">
        <f>AVERAGE(H32:H33)</f>
        <v>0.29812501806735281</v>
      </c>
      <c r="J32" s="259">
        <f>_xlfn.STDEV.S(H32:H33)/AVERAGE(H32:H33)*100</f>
        <v>2.9214948476250457</v>
      </c>
      <c r="K32" s="259">
        <f t="shared" ref="K32" si="6">I32/$L$35*100</f>
        <v>1.32459479301186</v>
      </c>
    </row>
    <row r="33" spans="2:13" ht="15" thickBot="1" x14ac:dyDescent="0.35">
      <c r="B33" s="295"/>
      <c r="C33" s="30" t="s">
        <v>62</v>
      </c>
      <c r="D33" s="131">
        <v>0.61219999999999997</v>
      </c>
      <c r="E33" s="136">
        <f t="shared" si="2"/>
        <v>4.2128146091661996E-2</v>
      </c>
      <c r="F33" s="137">
        <v>30</v>
      </c>
      <c r="G33" s="31">
        <v>0.41</v>
      </c>
      <c r="H33" s="43">
        <f t="shared" si="3"/>
        <v>0.29196632515558085</v>
      </c>
      <c r="I33" s="258"/>
      <c r="J33" s="260"/>
      <c r="K33" s="260"/>
    </row>
    <row r="34" spans="2:13" ht="15" thickBot="1" x14ac:dyDescent="0.35">
      <c r="B34" s="308" t="s">
        <v>146</v>
      </c>
      <c r="C34" s="29" t="s">
        <v>61</v>
      </c>
      <c r="D34" s="1" t="s">
        <v>86</v>
      </c>
      <c r="E34" s="143">
        <f>E19</f>
        <v>2E-3</v>
      </c>
      <c r="F34" s="20">
        <f>F19</f>
        <v>22.665700000000001</v>
      </c>
      <c r="G34" s="11">
        <v>0.01</v>
      </c>
      <c r="H34" s="32">
        <f t="shared" si="3"/>
        <v>0.11332850000000001</v>
      </c>
      <c r="I34" s="315">
        <f>AVERAGE(H34:H35)</f>
        <v>0.13322845</v>
      </c>
      <c r="J34" s="259">
        <f>_xlfn.STDEV.S(H34:H35)/AVERAGE(H34:H35)*100</f>
        <v>21.12370081656465</v>
      </c>
      <c r="K34" s="259">
        <f t="shared" ref="K34" si="7">I34/$L$35*100</f>
        <v>0.59194532647767173</v>
      </c>
    </row>
    <row r="35" spans="2:13" ht="15" thickBot="1" x14ac:dyDescent="0.35">
      <c r="B35" s="310"/>
      <c r="C35" s="50" t="s">
        <v>62</v>
      </c>
      <c r="D35" s="159" t="s">
        <v>86</v>
      </c>
      <c r="E35" s="25">
        <f>E20</f>
        <v>5.0000000000000001E-3</v>
      </c>
      <c r="F35" s="159">
        <f>F20</f>
        <v>25.5214</v>
      </c>
      <c r="G35" s="27">
        <v>0.03</v>
      </c>
      <c r="H35" s="160">
        <f t="shared" si="3"/>
        <v>0.1531284</v>
      </c>
      <c r="I35" s="344"/>
      <c r="J35" s="260"/>
      <c r="K35" s="260"/>
      <c r="L35" s="165">
        <f>SUM(I26,I28,I30,I32,I34)</f>
        <v>22.506884342303429</v>
      </c>
      <c r="M35" s="174">
        <f>ABS(I36-L35)/I36</f>
        <v>2.2021046245419926E-2</v>
      </c>
    </row>
    <row r="36" spans="2:13" ht="14.4" customHeight="1" x14ac:dyDescent="0.3">
      <c r="B36" s="325" t="s">
        <v>147</v>
      </c>
      <c r="C36" s="29" t="s">
        <v>61</v>
      </c>
      <c r="D36" s="1" t="s">
        <v>86</v>
      </c>
      <c r="E36" s="1">
        <v>8.9800000000000005E-2</v>
      </c>
      <c r="F36" s="1">
        <v>30.072199999999999</v>
      </c>
      <c r="G36" s="11">
        <v>69.142677307128906</v>
      </c>
      <c r="H36" s="34">
        <f>(G36*F36*10^(-3))/E36</f>
        <v>23.154481297499352</v>
      </c>
      <c r="I36" s="319">
        <f>AVERAGE(H36:H37)</f>
        <v>23.013669420897827</v>
      </c>
      <c r="J36" s="259">
        <f>_xlfn.STDEV.S(H36:H37)/AVERAGE(H36:H37)*100</f>
        <v>0.8653034072535003</v>
      </c>
      <c r="K36" s="259">
        <f>I36/I36*100</f>
        <v>100</v>
      </c>
    </row>
    <row r="37" spans="2:13" ht="15" customHeight="1" thickBot="1" x14ac:dyDescent="0.35">
      <c r="B37" s="326"/>
      <c r="C37" s="30" t="s">
        <v>62</v>
      </c>
      <c r="D37" s="3" t="s">
        <v>86</v>
      </c>
      <c r="E37" s="3">
        <v>8.2600000000000007E-2</v>
      </c>
      <c r="F37" s="3">
        <f t="shared" ref="F37" si="8">F21</f>
        <v>30.072199999999999</v>
      </c>
      <c r="G37" s="31">
        <v>62.825401306152344</v>
      </c>
      <c r="H37" s="43">
        <f t="shared" ref="H37" si="9">(G37*F37*10^(-3))/E37</f>
        <v>22.872857544296298</v>
      </c>
      <c r="I37" s="320"/>
      <c r="J37" s="260"/>
      <c r="K37" s="260"/>
    </row>
    <row r="38" spans="2:13" ht="15" thickBot="1" x14ac:dyDescent="0.35"/>
    <row r="39" spans="2:13" ht="15" thickBot="1" x14ac:dyDescent="0.35">
      <c r="B39" s="158" t="s">
        <v>173</v>
      </c>
      <c r="C39" s="172" t="s">
        <v>36</v>
      </c>
      <c r="D39" s="172" t="s">
        <v>46</v>
      </c>
    </row>
    <row r="40" spans="2:13" x14ac:dyDescent="0.3">
      <c r="B40" s="336" t="s">
        <v>143</v>
      </c>
      <c r="C40" s="259">
        <v>7.2796864631037419</v>
      </c>
      <c r="D40" s="259">
        <v>22.971864347461427</v>
      </c>
    </row>
    <row r="41" spans="2:13" ht="15" thickBot="1" x14ac:dyDescent="0.35">
      <c r="B41" s="337"/>
      <c r="C41" s="260"/>
      <c r="D41" s="260"/>
    </row>
    <row r="42" spans="2:13" x14ac:dyDescent="0.3">
      <c r="B42" s="338" t="s">
        <v>133</v>
      </c>
      <c r="C42" s="259">
        <v>68.498291226218896</v>
      </c>
      <c r="D42" s="259">
        <v>69.703847299881687</v>
      </c>
    </row>
    <row r="43" spans="2:13" ht="15" thickBot="1" x14ac:dyDescent="0.35">
      <c r="B43" s="339"/>
      <c r="C43" s="260"/>
      <c r="D43" s="260"/>
    </row>
    <row r="44" spans="2:13" x14ac:dyDescent="0.3">
      <c r="B44" s="342" t="s">
        <v>144</v>
      </c>
      <c r="C44" s="259">
        <v>4.8226469747650293</v>
      </c>
      <c r="D44" s="259">
        <v>5.4077482331673474</v>
      </c>
    </row>
    <row r="45" spans="2:13" ht="15" thickBot="1" x14ac:dyDescent="0.35">
      <c r="B45" s="343"/>
      <c r="C45" s="260"/>
      <c r="D45" s="260"/>
    </row>
    <row r="46" spans="2:13" x14ac:dyDescent="0.3">
      <c r="B46" s="296" t="s">
        <v>145</v>
      </c>
      <c r="C46" s="259">
        <v>18.006779157802256</v>
      </c>
      <c r="D46" s="259">
        <v>1.32459479301186</v>
      </c>
    </row>
    <row r="47" spans="2:13" ht="15" thickBot="1" x14ac:dyDescent="0.35">
      <c r="B47" s="297"/>
      <c r="C47" s="260"/>
      <c r="D47" s="260"/>
    </row>
    <row r="48" spans="2:13" x14ac:dyDescent="0.3">
      <c r="B48" s="340" t="s">
        <v>146</v>
      </c>
      <c r="C48" s="259">
        <v>1.3925961781100504</v>
      </c>
      <c r="D48" s="259">
        <v>0.59194532647767173</v>
      </c>
    </row>
    <row r="49" spans="2:10" ht="15" thickBot="1" x14ac:dyDescent="0.35">
      <c r="B49" s="341"/>
      <c r="C49" s="260"/>
      <c r="D49" s="260"/>
    </row>
    <row r="50" spans="2:10" x14ac:dyDescent="0.3">
      <c r="C50" s="157">
        <f>SUM(C40:C49)</f>
        <v>99.999999999999986</v>
      </c>
      <c r="D50" s="157">
        <f>SUM(D40:D49)</f>
        <v>100</v>
      </c>
    </row>
    <row r="51" spans="2:10" ht="15" thickBot="1" x14ac:dyDescent="0.35"/>
    <row r="52" spans="2:10" ht="16.2" thickBot="1" x14ac:dyDescent="0.35">
      <c r="B52" s="4" t="s">
        <v>164</v>
      </c>
    </row>
    <row r="53" spans="2:10" ht="15" thickBot="1" x14ac:dyDescent="0.35">
      <c r="B53" s="209" t="s">
        <v>72</v>
      </c>
      <c r="C53" s="107" t="s">
        <v>78</v>
      </c>
    </row>
    <row r="54" spans="2:10" x14ac:dyDescent="0.3">
      <c r="B54" s="321" t="s">
        <v>143</v>
      </c>
      <c r="C54" s="108">
        <v>1.3900233160637292</v>
      </c>
    </row>
    <row r="55" spans="2:10" ht="15" thickBot="1" x14ac:dyDescent="0.35">
      <c r="B55" s="322"/>
      <c r="C55" s="108">
        <v>1.3957414568413133</v>
      </c>
    </row>
    <row r="56" spans="2:10" x14ac:dyDescent="0.3">
      <c r="B56" s="288" t="s">
        <v>133</v>
      </c>
      <c r="C56" s="108">
        <v>13.181017116504814</v>
      </c>
    </row>
    <row r="57" spans="2:10" ht="15" thickBot="1" x14ac:dyDescent="0.35">
      <c r="B57" s="289"/>
      <c r="C57" s="108">
        <v>13.031667683773488</v>
      </c>
    </row>
    <row r="58" spans="2:10" x14ac:dyDescent="0.3">
      <c r="B58" s="291" t="s">
        <v>144</v>
      </c>
      <c r="C58" s="108">
        <v>0.91976667182326366</v>
      </c>
      <c r="D58" s="107"/>
      <c r="E58" s="107"/>
      <c r="F58" s="107"/>
      <c r="G58" s="107"/>
      <c r="H58" s="107"/>
      <c r="I58" s="107"/>
      <c r="J58" s="107"/>
    </row>
    <row r="59" spans="2:10" ht="15" thickBot="1" x14ac:dyDescent="0.35">
      <c r="B59" s="292"/>
      <c r="C59" s="108">
        <v>0.92574688463964672</v>
      </c>
      <c r="D59" s="203"/>
      <c r="E59" s="203"/>
      <c r="F59" s="203"/>
      <c r="G59" s="203"/>
      <c r="H59" s="203"/>
      <c r="I59" s="203"/>
      <c r="J59" s="108"/>
    </row>
    <row r="60" spans="2:10" x14ac:dyDescent="0.3">
      <c r="B60" s="294" t="s">
        <v>145</v>
      </c>
      <c r="C60" s="108">
        <v>3.4370228262869325</v>
      </c>
      <c r="D60" s="203"/>
      <c r="E60" s="203"/>
      <c r="F60" s="203"/>
      <c r="G60" s="203"/>
      <c r="H60" s="203"/>
      <c r="I60" s="203"/>
      <c r="J60" s="108"/>
    </row>
    <row r="61" spans="2:10" ht="15" thickBot="1" x14ac:dyDescent="0.35">
      <c r="B61" s="295"/>
      <c r="C61" s="108">
        <v>3.4537479926940664</v>
      </c>
    </row>
    <row r="62" spans="2:10" x14ac:dyDescent="0.3">
      <c r="B62" s="308" t="s">
        <v>146</v>
      </c>
      <c r="C62" s="108">
        <v>0.22665700000000003</v>
      </c>
    </row>
    <row r="63" spans="2:10" ht="15" thickBot="1" x14ac:dyDescent="0.35">
      <c r="B63" s="310"/>
      <c r="C63" s="108">
        <v>0.3062568</v>
      </c>
      <c r="D63" s="107" t="s">
        <v>165</v>
      </c>
      <c r="E63" s="107" t="s">
        <v>81</v>
      </c>
      <c r="F63" s="107" t="s">
        <v>166</v>
      </c>
      <c r="G63" s="107" t="s">
        <v>167</v>
      </c>
      <c r="H63" s="107" t="s">
        <v>168</v>
      </c>
    </row>
    <row r="64" spans="2:10" x14ac:dyDescent="0.3">
      <c r="B64" s="325" t="s">
        <v>147</v>
      </c>
      <c r="C64" s="108">
        <v>18.424697254248855</v>
      </c>
      <c r="D64" s="157">
        <f>SUM(C54,C56,C58,C60,C62)</f>
        <v>19.154486930678736</v>
      </c>
      <c r="E64">
        <f>D64/C64*100</f>
        <v>103.96093171225154</v>
      </c>
      <c r="F64">
        <f>_xlfn.STDEV.S(E64:E65)</f>
        <v>1.6085776049551859</v>
      </c>
      <c r="G64">
        <f>6.314*F64/SQRT(2)</f>
        <v>7.1817717407857531</v>
      </c>
      <c r="H64" s="9">
        <f>AVERAGE(E64:E65)</f>
        <v>102.8234955797229</v>
      </c>
    </row>
    <row r="65" spans="2:8" ht="15" thickBot="1" x14ac:dyDescent="0.35">
      <c r="B65" s="326"/>
      <c r="C65" s="108">
        <v>18.796244954180771</v>
      </c>
      <c r="D65" s="157">
        <f>SUM(C55,C57,C59,C61,C63)</f>
        <v>19.113160817948515</v>
      </c>
      <c r="E65">
        <f>D65/C65*100</f>
        <v>101.68605944719428</v>
      </c>
      <c r="H65" s="9"/>
    </row>
    <row r="66" spans="2:8" ht="15" thickBot="1" x14ac:dyDescent="0.35">
      <c r="H66" s="9"/>
    </row>
    <row r="67" spans="2:8" ht="16.2" thickBot="1" x14ac:dyDescent="0.35">
      <c r="B67" s="4" t="s">
        <v>164</v>
      </c>
      <c r="H67" s="9"/>
    </row>
    <row r="68" spans="2:8" ht="15" thickBot="1" x14ac:dyDescent="0.35">
      <c r="B68" s="209" t="s">
        <v>72</v>
      </c>
      <c r="C68" s="9" t="s">
        <v>88</v>
      </c>
      <c r="H68" s="9"/>
    </row>
    <row r="69" spans="2:8" x14ac:dyDescent="0.3">
      <c r="B69" s="321" t="s">
        <v>143</v>
      </c>
      <c r="C69" s="108">
        <v>5.2488940143899026</v>
      </c>
      <c r="H69" s="9"/>
    </row>
    <row r="70" spans="2:8" ht="15" thickBot="1" x14ac:dyDescent="0.35">
      <c r="B70" s="322"/>
      <c r="C70" s="108">
        <v>5.091607865518057</v>
      </c>
      <c r="H70" s="9"/>
    </row>
    <row r="71" spans="2:8" x14ac:dyDescent="0.3">
      <c r="B71" s="288" t="s">
        <v>133</v>
      </c>
      <c r="C71" s="108">
        <v>15.788175276485042</v>
      </c>
      <c r="H71" s="9"/>
    </row>
    <row r="72" spans="2:8" ht="15" thickBot="1" x14ac:dyDescent="0.35">
      <c r="B72" s="289"/>
      <c r="C72" s="108">
        <v>15.588153311355283</v>
      </c>
      <c r="H72" s="9"/>
    </row>
    <row r="73" spans="2:8" x14ac:dyDescent="0.3">
      <c r="B73" s="291" t="s">
        <v>144</v>
      </c>
      <c r="C73" s="108">
        <v>1.2378814605741668</v>
      </c>
      <c r="H73" s="9"/>
    </row>
    <row r="74" spans="2:8" ht="15" thickBot="1" x14ac:dyDescent="0.35">
      <c r="B74" s="292"/>
      <c r="C74" s="108">
        <v>1.1963498201496974</v>
      </c>
      <c r="H74" s="9"/>
    </row>
    <row r="75" spans="2:8" x14ac:dyDescent="0.3">
      <c r="B75" s="294" t="s">
        <v>145</v>
      </c>
      <c r="C75" s="108">
        <v>0.30428371097912477</v>
      </c>
      <c r="H75" s="9"/>
    </row>
    <row r="76" spans="2:8" ht="15" thickBot="1" x14ac:dyDescent="0.35">
      <c r="B76" s="295"/>
      <c r="C76" s="108">
        <v>0.29196632515558085</v>
      </c>
      <c r="H76" s="9"/>
    </row>
    <row r="77" spans="2:8" x14ac:dyDescent="0.3">
      <c r="B77" s="308" t="s">
        <v>146</v>
      </c>
      <c r="C77" s="108">
        <v>0.11332850000000001</v>
      </c>
      <c r="H77" s="9"/>
    </row>
    <row r="78" spans="2:8" ht="15" thickBot="1" x14ac:dyDescent="0.35">
      <c r="B78" s="310"/>
      <c r="C78" s="108">
        <v>0.1531284</v>
      </c>
      <c r="D78" s="107" t="s">
        <v>165</v>
      </c>
      <c r="E78" s="107" t="s">
        <v>81</v>
      </c>
      <c r="F78" s="107" t="s">
        <v>166</v>
      </c>
      <c r="G78" s="107" t="s">
        <v>167</v>
      </c>
      <c r="H78" s="107" t="s">
        <v>168</v>
      </c>
    </row>
    <row r="79" spans="2:8" x14ac:dyDescent="0.3">
      <c r="B79" s="325" t="s">
        <v>147</v>
      </c>
      <c r="C79" s="108">
        <v>23.154481297499352</v>
      </c>
      <c r="D79">
        <f>SUM(C69,C71,C73,C75,C77)</f>
        <v>22.692562962428237</v>
      </c>
      <c r="E79">
        <f>D79/C79*100</f>
        <v>98.005058592605991</v>
      </c>
      <c r="F79">
        <f>_xlfn.STDEV.S(E79:E80)</f>
        <v>0.29477665739299319</v>
      </c>
      <c r="G79">
        <f>6.314*F79/SQRT(2)</f>
        <v>1.3160811523092546</v>
      </c>
      <c r="H79" s="9">
        <f>AVERAGE(E79:E80)</f>
        <v>97.796620019227902</v>
      </c>
    </row>
    <row r="80" spans="2:8" ht="15" thickBot="1" x14ac:dyDescent="0.35">
      <c r="B80" s="326"/>
      <c r="C80" s="108">
        <v>22.872857544296298</v>
      </c>
      <c r="D80">
        <f>SUM(C70,C72,C74,C76,C78)</f>
        <v>22.321205722178622</v>
      </c>
      <c r="E80">
        <f>D80/C80*100</f>
        <v>97.588181445849813</v>
      </c>
    </row>
  </sheetData>
  <mergeCells count="77">
    <mergeCell ref="B64:B65"/>
    <mergeCell ref="B54:B55"/>
    <mergeCell ref="B56:B57"/>
    <mergeCell ref="B58:B59"/>
    <mergeCell ref="B60:B61"/>
    <mergeCell ref="B62:B63"/>
    <mergeCell ref="D48:D49"/>
    <mergeCell ref="D46:D47"/>
    <mergeCell ref="D44:D45"/>
    <mergeCell ref="D42:D43"/>
    <mergeCell ref="D40:D41"/>
    <mergeCell ref="B48:B49"/>
    <mergeCell ref="C40:C41"/>
    <mergeCell ref="C42:C43"/>
    <mergeCell ref="C44:C45"/>
    <mergeCell ref="C46:C47"/>
    <mergeCell ref="C48:C49"/>
    <mergeCell ref="B40:B41"/>
    <mergeCell ref="B42:B43"/>
    <mergeCell ref="B44:B45"/>
    <mergeCell ref="B46:B47"/>
    <mergeCell ref="B36:B37"/>
    <mergeCell ref="I36:I37"/>
    <mergeCell ref="J36:J37"/>
    <mergeCell ref="K36:K37"/>
    <mergeCell ref="B13:B14"/>
    <mergeCell ref="I13:I14"/>
    <mergeCell ref="J13:J14"/>
    <mergeCell ref="K13:K14"/>
    <mergeCell ref="B15:B16"/>
    <mergeCell ref="I15:I16"/>
    <mergeCell ref="J15:J16"/>
    <mergeCell ref="K15:K16"/>
    <mergeCell ref="B17:B18"/>
    <mergeCell ref="I17:I18"/>
    <mergeCell ref="J17:J18"/>
    <mergeCell ref="K17:K18"/>
    <mergeCell ref="D1:G1"/>
    <mergeCell ref="B11:B12"/>
    <mergeCell ref="I11:I12"/>
    <mergeCell ref="J11:J12"/>
    <mergeCell ref="K11:K12"/>
    <mergeCell ref="D7:G7"/>
    <mergeCell ref="B19:B20"/>
    <mergeCell ref="I19:I20"/>
    <mergeCell ref="J19:J20"/>
    <mergeCell ref="K19:K20"/>
    <mergeCell ref="B26:B27"/>
    <mergeCell ref="I26:I27"/>
    <mergeCell ref="J26:J27"/>
    <mergeCell ref="K26:K27"/>
    <mergeCell ref="B21:B22"/>
    <mergeCell ref="I21:I22"/>
    <mergeCell ref="J21:J22"/>
    <mergeCell ref="K21:K22"/>
    <mergeCell ref="B28:B29"/>
    <mergeCell ref="I28:I29"/>
    <mergeCell ref="J28:J29"/>
    <mergeCell ref="K28:K29"/>
    <mergeCell ref="B30:B31"/>
    <mergeCell ref="I30:I31"/>
    <mergeCell ref="J30:J31"/>
    <mergeCell ref="K30:K31"/>
    <mergeCell ref="B32:B33"/>
    <mergeCell ref="I32:I33"/>
    <mergeCell ref="J32:J33"/>
    <mergeCell ref="K32:K33"/>
    <mergeCell ref="B34:B35"/>
    <mergeCell ref="I34:I35"/>
    <mergeCell ref="J34:J35"/>
    <mergeCell ref="K34:K35"/>
    <mergeCell ref="B79:B80"/>
    <mergeCell ref="B69:B70"/>
    <mergeCell ref="B71:B72"/>
    <mergeCell ref="B73:B74"/>
    <mergeCell ref="B75:B76"/>
    <mergeCell ref="B77:B78"/>
  </mergeCells>
  <phoneticPr fontId="1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33F2-9E7B-4E0C-846B-729BAD4259A5}">
  <dimension ref="B2:M13"/>
  <sheetViews>
    <sheetView topLeftCell="A4" workbookViewId="0">
      <selection activeCell="I12" sqref="I12"/>
    </sheetView>
  </sheetViews>
  <sheetFormatPr baseColWidth="10" defaultRowHeight="14.4" x14ac:dyDescent="0.3"/>
  <cols>
    <col min="2" max="2" width="24.33203125" customWidth="1"/>
    <col min="7" max="7" width="11.109375" customWidth="1"/>
    <col min="11" max="11" width="19.44140625" bestFit="1" customWidth="1"/>
  </cols>
  <sheetData>
    <row r="2" spans="2:13" ht="15" thickBot="1" x14ac:dyDescent="0.35">
      <c r="C2" s="348" t="s">
        <v>128</v>
      </c>
      <c r="D2" s="348"/>
      <c r="E2" s="9"/>
      <c r="F2" s="349" t="s">
        <v>175</v>
      </c>
      <c r="G2" s="349"/>
    </row>
    <row r="3" spans="2:13" ht="15" thickBot="1" x14ac:dyDescent="0.35">
      <c r="B3" s="158" t="s">
        <v>174</v>
      </c>
      <c r="C3" s="172" t="s">
        <v>36</v>
      </c>
      <c r="D3" s="172" t="s">
        <v>46</v>
      </c>
      <c r="E3" s="172"/>
      <c r="F3" s="172" t="s">
        <v>36</v>
      </c>
      <c r="G3" s="172" t="s">
        <v>46</v>
      </c>
      <c r="K3" s="158" t="s">
        <v>173</v>
      </c>
      <c r="L3" s="172" t="s">
        <v>36</v>
      </c>
      <c r="M3" s="172" t="s">
        <v>46</v>
      </c>
    </row>
    <row r="4" spans="2:13" x14ac:dyDescent="0.3">
      <c r="B4" s="336" t="s">
        <v>143</v>
      </c>
      <c r="C4" s="259">
        <v>29.557819742460374</v>
      </c>
      <c r="D4" s="259">
        <v>69.941690834649322</v>
      </c>
      <c r="E4" s="245"/>
      <c r="F4" s="259">
        <v>7.2796864631037419</v>
      </c>
      <c r="G4" s="259">
        <v>22.971864347461427</v>
      </c>
      <c r="K4" s="336" t="s">
        <v>143</v>
      </c>
      <c r="L4" s="259">
        <v>7.2796864631037419</v>
      </c>
      <c r="M4" s="259">
        <v>22.971864347461427</v>
      </c>
    </row>
    <row r="5" spans="2:13" ht="15" thickBot="1" x14ac:dyDescent="0.35">
      <c r="B5" s="337"/>
      <c r="C5" s="260"/>
      <c r="D5" s="260"/>
      <c r="E5" s="246"/>
      <c r="F5" s="260"/>
      <c r="G5" s="260"/>
      <c r="K5" s="337"/>
      <c r="L5" s="260"/>
      <c r="M5" s="260"/>
    </row>
    <row r="6" spans="2:13" x14ac:dyDescent="0.3">
      <c r="B6" s="338" t="s">
        <v>176</v>
      </c>
      <c r="C6" s="259">
        <v>39.112952369518965</v>
      </c>
      <c r="D6" s="259">
        <v>24.511449624733775</v>
      </c>
      <c r="E6" s="245"/>
      <c r="F6" s="259">
        <v>68.498291226218896</v>
      </c>
      <c r="G6" s="259">
        <v>69.703847299881687</v>
      </c>
      <c r="K6" s="338" t="s">
        <v>133</v>
      </c>
      <c r="L6" s="259">
        <v>68.498291226218896</v>
      </c>
      <c r="M6" s="259">
        <v>69.703847299881687</v>
      </c>
    </row>
    <row r="7" spans="2:13" ht="15" thickBot="1" x14ac:dyDescent="0.35">
      <c r="B7" s="339"/>
      <c r="C7" s="260"/>
      <c r="D7" s="260"/>
      <c r="E7" s="246"/>
      <c r="F7" s="260"/>
      <c r="G7" s="260"/>
      <c r="K7" s="339"/>
      <c r="L7" s="260"/>
      <c r="M7" s="260"/>
    </row>
    <row r="8" spans="2:13" x14ac:dyDescent="0.3">
      <c r="B8" s="342" t="s">
        <v>144</v>
      </c>
      <c r="C8" s="259">
        <v>2.1245303734116745</v>
      </c>
      <c r="D8" s="259">
        <v>2.7597162751992266</v>
      </c>
      <c r="E8" s="245"/>
      <c r="F8" s="259">
        <v>4.8226469747650293</v>
      </c>
      <c r="G8" s="259">
        <v>5.4077482331673474</v>
      </c>
      <c r="K8" s="342" t="s">
        <v>144</v>
      </c>
      <c r="L8" s="259">
        <v>4.8226469747650293</v>
      </c>
      <c r="M8" s="259">
        <v>5.4077482331673474</v>
      </c>
    </row>
    <row r="9" spans="2:13" ht="15" thickBot="1" x14ac:dyDescent="0.35">
      <c r="B9" s="343"/>
      <c r="C9" s="260"/>
      <c r="D9" s="260"/>
      <c r="E9" s="246"/>
      <c r="F9" s="260"/>
      <c r="G9" s="260"/>
      <c r="K9" s="343"/>
      <c r="L9" s="260"/>
      <c r="M9" s="260"/>
    </row>
    <row r="10" spans="2:13" x14ac:dyDescent="0.3">
      <c r="B10" s="296" t="s">
        <v>145</v>
      </c>
      <c r="C10" s="259">
        <v>12.79557549854729</v>
      </c>
      <c r="D10" s="259">
        <v>1.9173670489169361</v>
      </c>
      <c r="E10" s="245"/>
      <c r="F10" s="259">
        <v>18.006779157802256</v>
      </c>
      <c r="G10" s="259">
        <v>1.32459479301186</v>
      </c>
      <c r="K10" s="296" t="s">
        <v>145</v>
      </c>
      <c r="L10" s="259">
        <v>18.006779157802256</v>
      </c>
      <c r="M10" s="259">
        <v>1.32459479301186</v>
      </c>
    </row>
    <row r="11" spans="2:13" ht="15" thickBot="1" x14ac:dyDescent="0.35">
      <c r="B11" s="297"/>
      <c r="C11" s="260"/>
      <c r="D11" s="260"/>
      <c r="E11" s="246"/>
      <c r="F11" s="260"/>
      <c r="G11" s="260"/>
      <c r="K11" s="297"/>
      <c r="L11" s="260"/>
      <c r="M11" s="260"/>
    </row>
    <row r="12" spans="2:13" x14ac:dyDescent="0.3">
      <c r="B12" s="340" t="s">
        <v>146</v>
      </c>
      <c r="C12" s="259">
        <v>16.409122016061698</v>
      </c>
      <c r="D12" s="259">
        <v>0.86977621650074077</v>
      </c>
      <c r="E12" s="245"/>
      <c r="F12" s="259">
        <v>1.3925961781100504</v>
      </c>
      <c r="G12" s="259">
        <v>0.59194532647767173</v>
      </c>
      <c r="K12" s="340" t="s">
        <v>146</v>
      </c>
      <c r="L12" s="259">
        <v>1.3925961781100504</v>
      </c>
      <c r="M12" s="259">
        <v>0.59194532647767173</v>
      </c>
    </row>
    <row r="13" spans="2:13" ht="15" thickBot="1" x14ac:dyDescent="0.35">
      <c r="B13" s="341"/>
      <c r="C13" s="260"/>
      <c r="D13" s="260"/>
      <c r="E13" s="246"/>
      <c r="F13" s="260"/>
      <c r="G13" s="260"/>
      <c r="K13" s="341"/>
      <c r="L13" s="260"/>
      <c r="M13" s="260"/>
    </row>
  </sheetData>
  <mergeCells count="42">
    <mergeCell ref="F8:F9"/>
    <mergeCell ref="G8:G9"/>
    <mergeCell ref="F10:F11"/>
    <mergeCell ref="G10:G11"/>
    <mergeCell ref="F12:F13"/>
    <mergeCell ref="G12:G13"/>
    <mergeCell ref="C2:D2"/>
    <mergeCell ref="F2:G2"/>
    <mergeCell ref="F4:F5"/>
    <mergeCell ref="G4:G5"/>
    <mergeCell ref="F6:F7"/>
    <mergeCell ref="G6:G7"/>
    <mergeCell ref="L8:L9"/>
    <mergeCell ref="M8:M9"/>
    <mergeCell ref="K10:K11"/>
    <mergeCell ref="L10:L11"/>
    <mergeCell ref="M10:M11"/>
    <mergeCell ref="K8:K9"/>
    <mergeCell ref="K12:K13"/>
    <mergeCell ref="L12:L13"/>
    <mergeCell ref="M12:M13"/>
    <mergeCell ref="B12:B13"/>
    <mergeCell ref="C12:C13"/>
    <mergeCell ref="D12:D13"/>
    <mergeCell ref="K4:K5"/>
    <mergeCell ref="L4:L5"/>
    <mergeCell ref="M4:M5"/>
    <mergeCell ref="K6:K7"/>
    <mergeCell ref="L6:L7"/>
    <mergeCell ref="M6:M7"/>
    <mergeCell ref="B8:B9"/>
    <mergeCell ref="C8:C9"/>
    <mergeCell ref="D8:D9"/>
    <mergeCell ref="B10:B11"/>
    <mergeCell ref="C10:C11"/>
    <mergeCell ref="D10:D11"/>
    <mergeCell ref="B4:B5"/>
    <mergeCell ref="C4:C5"/>
    <mergeCell ref="D4:D5"/>
    <mergeCell ref="B6:B7"/>
    <mergeCell ref="C6:C7"/>
    <mergeCell ref="D6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9271-72F3-4E38-89ED-38E25E8902F4}">
  <dimension ref="A2:L37"/>
  <sheetViews>
    <sheetView zoomScale="79" zoomScaleNormal="79" workbookViewId="0">
      <selection activeCell="C22" sqref="C22"/>
    </sheetView>
  </sheetViews>
  <sheetFormatPr baseColWidth="10" defaultColWidth="11.44140625" defaultRowHeight="14.4" x14ac:dyDescent="0.3"/>
  <cols>
    <col min="1" max="1" width="7.6640625" customWidth="1"/>
    <col min="2" max="2" width="34.88671875" customWidth="1"/>
    <col min="3" max="3" width="12.88671875" customWidth="1"/>
    <col min="5" max="5" width="11.5546875"/>
    <col min="7" max="7" width="8.88671875" customWidth="1"/>
    <col min="8" max="8" width="32.6640625" customWidth="1"/>
  </cols>
  <sheetData>
    <row r="2" spans="1:12" ht="15.6" x14ac:dyDescent="0.35">
      <c r="B2" s="67" t="s">
        <v>11</v>
      </c>
      <c r="C2" s="67">
        <v>170.48</v>
      </c>
      <c r="D2" s="9"/>
      <c r="E2" s="9"/>
      <c r="F2" s="9"/>
      <c r="H2" s="66" t="s">
        <v>12</v>
      </c>
      <c r="I2" s="66">
        <v>136.28</v>
      </c>
      <c r="K2" t="s">
        <v>13</v>
      </c>
      <c r="L2" s="28">
        <v>6.9403603837034714E-2</v>
      </c>
    </row>
    <row r="3" spans="1:12" x14ac:dyDescent="0.3">
      <c r="B3" s="67" t="s">
        <v>14</v>
      </c>
      <c r="C3" s="67">
        <v>63.54</v>
      </c>
      <c r="D3" s="9"/>
      <c r="E3" s="9"/>
      <c r="F3" s="9"/>
      <c r="H3" s="66" t="s">
        <v>15</v>
      </c>
      <c r="I3" s="66">
        <v>65.38</v>
      </c>
      <c r="K3" t="s">
        <v>16</v>
      </c>
      <c r="L3" s="28">
        <v>8.6505631756196195E-3</v>
      </c>
    </row>
    <row r="4" spans="1:12" x14ac:dyDescent="0.3">
      <c r="B4" s="67" t="s">
        <v>17</v>
      </c>
      <c r="C4" s="67">
        <v>99</v>
      </c>
      <c r="D4" s="9"/>
      <c r="E4" s="9"/>
      <c r="F4" s="9"/>
      <c r="H4" s="66" t="s">
        <v>17</v>
      </c>
      <c r="I4" s="66">
        <v>97</v>
      </c>
    </row>
    <row r="5" spans="1:12" ht="15.6" x14ac:dyDescent="0.35">
      <c r="B5" s="67" t="s">
        <v>18</v>
      </c>
      <c r="C5" s="67">
        <v>5000</v>
      </c>
      <c r="D5" s="9"/>
      <c r="E5" s="9"/>
      <c r="F5" s="9"/>
      <c r="H5" s="66" t="s">
        <v>19</v>
      </c>
      <c r="I5" s="66">
        <v>5000</v>
      </c>
    </row>
    <row r="6" spans="1:12" ht="15.6" x14ac:dyDescent="0.35">
      <c r="B6" s="67" t="s">
        <v>20</v>
      </c>
      <c r="C6" s="71">
        <f>C5*(C2/C3)*(100/C4)*0.25</f>
        <v>3387.6695821927174</v>
      </c>
      <c r="D6" s="9"/>
      <c r="E6" s="9"/>
      <c r="F6" s="9"/>
      <c r="H6" s="66" t="s">
        <v>21</v>
      </c>
      <c r="I6" s="68">
        <f>I5*(I2/I3)*(100/I4)*0.25</f>
        <v>2686.1204756964044</v>
      </c>
    </row>
    <row r="7" spans="1:12" ht="15.6" x14ac:dyDescent="0.35">
      <c r="B7" s="70" t="s">
        <v>22</v>
      </c>
      <c r="C7" s="72">
        <v>3503</v>
      </c>
      <c r="D7" s="9"/>
      <c r="E7" s="9"/>
      <c r="F7" s="9"/>
      <c r="H7" s="69" t="s">
        <v>23</v>
      </c>
      <c r="I7" s="63">
        <v>2858.3</v>
      </c>
    </row>
    <row r="8" spans="1:12" ht="15.6" x14ac:dyDescent="0.35">
      <c r="B8" s="70" t="s">
        <v>24</v>
      </c>
      <c r="C8" s="72">
        <f>C7*(C4/100)*(C3/C2)/0.25</f>
        <v>5170.2208775222907</v>
      </c>
      <c r="D8" s="9"/>
      <c r="E8" s="9"/>
      <c r="F8" s="9"/>
      <c r="H8" s="69" t="s">
        <v>25</v>
      </c>
      <c r="I8" s="63">
        <f>I7*(I4/100)*(I3/I2)/0.25</f>
        <v>5320.4985142353971</v>
      </c>
    </row>
    <row r="9" spans="1:12" ht="15" thickBot="1" x14ac:dyDescent="0.35"/>
    <row r="10" spans="1:12" ht="16.2" thickBot="1" x14ac:dyDescent="0.35">
      <c r="B10" s="248" t="s">
        <v>26</v>
      </c>
      <c r="C10" s="249"/>
      <c r="D10" s="250"/>
      <c r="H10" s="251" t="s">
        <v>27</v>
      </c>
      <c r="I10" s="252"/>
      <c r="J10" s="253"/>
    </row>
    <row r="11" spans="1:12" ht="16.2" thickBot="1" x14ac:dyDescent="0.35">
      <c r="A11" s="79"/>
      <c r="B11" s="83" t="s">
        <v>28</v>
      </c>
      <c r="C11" s="84" t="s">
        <v>29</v>
      </c>
      <c r="D11" s="84" t="s">
        <v>29</v>
      </c>
      <c r="G11" s="79"/>
      <c r="H11" s="83" t="s">
        <v>28</v>
      </c>
      <c r="I11" s="84" t="s">
        <v>29</v>
      </c>
      <c r="J11" s="84" t="s">
        <v>29</v>
      </c>
    </row>
    <row r="12" spans="1:12" x14ac:dyDescent="0.3">
      <c r="A12" s="80"/>
      <c r="B12" s="56" t="s">
        <v>30</v>
      </c>
      <c r="C12" s="57">
        <v>30</v>
      </c>
      <c r="D12" s="57">
        <v>30</v>
      </c>
      <c r="G12" s="80"/>
      <c r="H12" s="56" t="s">
        <v>31</v>
      </c>
      <c r="I12" s="57">
        <v>244.1</v>
      </c>
      <c r="J12" s="57">
        <v>244.1</v>
      </c>
    </row>
    <row r="13" spans="1:12" x14ac:dyDescent="0.3">
      <c r="A13" s="80"/>
      <c r="B13" s="58" t="s">
        <v>32</v>
      </c>
      <c r="C13" s="59">
        <f>C12*$L$2/0.5</f>
        <v>4.1642162302220829</v>
      </c>
      <c r="D13" s="59">
        <f>D12*$L$2/0.5</f>
        <v>4.1642162302220829</v>
      </c>
      <c r="G13" s="80"/>
      <c r="H13" s="58" t="s">
        <v>32</v>
      </c>
      <c r="I13" s="59">
        <f>I12*$L$3/0.5</f>
        <v>4.2232049423374978</v>
      </c>
      <c r="J13" s="59">
        <f>J12*$L$3/0.5</f>
        <v>4.2232049423374978</v>
      </c>
    </row>
    <row r="14" spans="1:12" ht="15.6" x14ac:dyDescent="0.3">
      <c r="A14" s="80"/>
      <c r="B14" s="236" t="s">
        <v>33</v>
      </c>
      <c r="C14" s="237">
        <f>'Crecimiento biomasa'!C9</f>
        <v>1.1201044662360728</v>
      </c>
      <c r="D14" s="237">
        <f>'Crecimiento biomasa'!D9</f>
        <v>1.1068761246658396</v>
      </c>
      <c r="G14" s="80"/>
      <c r="H14" s="242" t="s">
        <v>33</v>
      </c>
      <c r="I14" s="243">
        <f>'Crecimiento biomasa'!H9</f>
        <v>1.0360276019347456</v>
      </c>
      <c r="J14" s="243">
        <f>'Crecimiento biomasa'!I9</f>
        <v>1.0256090959074864</v>
      </c>
    </row>
    <row r="15" spans="1:12" x14ac:dyDescent="0.3">
      <c r="A15" s="80"/>
      <c r="B15" s="239" t="s">
        <v>34</v>
      </c>
      <c r="C15" s="240">
        <f>C13*C14</f>
        <v>4.664357197844498</v>
      </c>
      <c r="D15" s="240">
        <f>D13*D14</f>
        <v>4.6092715231788111</v>
      </c>
      <c r="G15" s="80"/>
      <c r="H15" s="239" t="s">
        <v>34</v>
      </c>
      <c r="I15" s="238">
        <f>I13*I14</f>
        <v>4.3753568888888834</v>
      </c>
      <c r="J15" s="238">
        <f>J13*J14</f>
        <v>4.331357402742789</v>
      </c>
    </row>
    <row r="16" spans="1:12" x14ac:dyDescent="0.3">
      <c r="A16" s="80"/>
      <c r="B16" s="58" t="s">
        <v>35</v>
      </c>
      <c r="C16" s="59">
        <v>7.8299999999999995E-2</v>
      </c>
      <c r="D16" s="59">
        <v>0.05</v>
      </c>
      <c r="G16" s="80"/>
      <c r="H16" s="58" t="s">
        <v>35</v>
      </c>
      <c r="I16" s="59">
        <v>8.9800000000000005E-2</v>
      </c>
      <c r="J16" s="59">
        <v>8.2600000000000007E-2</v>
      </c>
    </row>
    <row r="17" spans="1:12" ht="18" x14ac:dyDescent="0.35">
      <c r="A17" s="81" t="s">
        <v>36</v>
      </c>
      <c r="B17" s="58" t="s">
        <v>37</v>
      </c>
      <c r="C17" s="59">
        <v>30.015000000000001</v>
      </c>
      <c r="D17" s="60">
        <v>30.406400000000001</v>
      </c>
      <c r="G17" s="81" t="s">
        <v>36</v>
      </c>
      <c r="H17" s="58" t="s">
        <v>37</v>
      </c>
      <c r="I17" s="60">
        <v>30.072199999999999</v>
      </c>
      <c r="J17" s="60">
        <v>30.996400000000001</v>
      </c>
    </row>
    <row r="18" spans="1:12" ht="16.2" thickBot="1" x14ac:dyDescent="0.4">
      <c r="A18" s="80"/>
      <c r="B18" s="61" t="s">
        <v>38</v>
      </c>
      <c r="C18" s="62">
        <f>$C$8*0.01/0.5</f>
        <v>103.40441755044581</v>
      </c>
      <c r="D18" s="62">
        <f>$C$8*0.01/0.5</f>
        <v>103.40441755044581</v>
      </c>
      <c r="G18" s="80"/>
      <c r="H18" s="61" t="s">
        <v>39</v>
      </c>
      <c r="I18" s="62">
        <f>$C$8*0.01/0.5</f>
        <v>103.40441755044581</v>
      </c>
      <c r="J18" s="62">
        <f>$C$8*0.01/0.5</f>
        <v>103.40441755044581</v>
      </c>
    </row>
    <row r="19" spans="1:12" ht="16.2" thickBot="1" x14ac:dyDescent="0.35">
      <c r="A19" s="79"/>
      <c r="B19" s="74" t="s">
        <v>40</v>
      </c>
      <c r="C19" s="75">
        <v>25.203817367553711</v>
      </c>
      <c r="D19" s="76">
        <v>16.505823135375977</v>
      </c>
      <c r="G19" s="79"/>
      <c r="H19" s="74" t="s">
        <v>40</v>
      </c>
      <c r="I19" s="75">
        <v>55.018848419189403</v>
      </c>
      <c r="J19" s="76">
        <v>50.088714599609375</v>
      </c>
    </row>
    <row r="20" spans="1:12" x14ac:dyDescent="0.3">
      <c r="A20" s="79"/>
      <c r="B20" s="85" t="s">
        <v>41</v>
      </c>
      <c r="C20" s="86">
        <f>C19*C17*10^-3/(C16)</f>
        <v>9.6614633242289241</v>
      </c>
      <c r="D20" s="86">
        <f>D19*D17*10^-3/(D16)</f>
        <v>10.037653211669921</v>
      </c>
      <c r="E20" s="157">
        <f>AVERAGE(C20:D20)</f>
        <v>9.8495582679494227</v>
      </c>
      <c r="F20">
        <f>_xlfn.STDEV.S(C20:D20)</f>
        <v>0.26600642042333317</v>
      </c>
      <c r="G20" s="79"/>
      <c r="H20" s="85" t="s">
        <v>42</v>
      </c>
      <c r="I20" s="86">
        <f>I19*I17*10^-3/(I16)</f>
        <v>18.424697254248855</v>
      </c>
      <c r="J20" s="86">
        <f>J19*J17*10^-3/(J16)</f>
        <v>18.796244954180771</v>
      </c>
      <c r="K20" s="157">
        <f>AVERAGE(I20:J20)</f>
        <v>18.610471104214813</v>
      </c>
      <c r="L20">
        <f>_xlfn.STDEV.S(I20:J20)</f>
        <v>0.26272389815612268</v>
      </c>
    </row>
    <row r="21" spans="1:12" x14ac:dyDescent="0.3">
      <c r="A21" s="79"/>
      <c r="B21" s="58" t="s">
        <v>43</v>
      </c>
      <c r="C21" s="63">
        <f>$I$8*0.01</f>
        <v>53.204985142353969</v>
      </c>
      <c r="D21" s="63">
        <f>$I$8*0.01</f>
        <v>53.204985142353969</v>
      </c>
      <c r="G21" s="80"/>
      <c r="H21" s="58" t="s">
        <v>43</v>
      </c>
      <c r="I21" s="63">
        <f>$C$8*0.01</f>
        <v>51.702208775222907</v>
      </c>
      <c r="J21" s="63">
        <f>$C$8*0.01</f>
        <v>51.702208775222907</v>
      </c>
    </row>
    <row r="22" spans="1:12" x14ac:dyDescent="0.3">
      <c r="A22" s="80"/>
      <c r="B22" s="58" t="s">
        <v>44</v>
      </c>
      <c r="C22" s="64">
        <f>(C20*C15*0.5)</f>
        <v>22.532257999038908</v>
      </c>
      <c r="D22" s="64">
        <f>(D20*D15*0.5)</f>
        <v>23.133134554047253</v>
      </c>
      <c r="G22" s="80"/>
      <c r="H22" s="58" t="s">
        <v>44</v>
      </c>
      <c r="I22" s="64">
        <f>(I20*I15*0.5)</f>
        <v>40.307313028534914</v>
      </c>
      <c r="J22" s="64">
        <f>(J20*J15*0.5)</f>
        <v>40.706627363028836</v>
      </c>
    </row>
    <row r="23" spans="1:12" x14ac:dyDescent="0.3">
      <c r="A23" s="80"/>
      <c r="B23" s="87" t="s">
        <v>45</v>
      </c>
      <c r="C23" s="88">
        <f>C22/C21*100</f>
        <v>42.349899992927625</v>
      </c>
      <c r="D23" s="88">
        <f>D22/D21*100</f>
        <v>43.479261374009972</v>
      </c>
      <c r="E23" s="157">
        <f>AVERAGE(C23:D23)</f>
        <v>42.914580683468799</v>
      </c>
      <c r="F23">
        <f>_xlfn.STDEV.S(C23:D23)</f>
        <v>0.79857909097353241</v>
      </c>
      <c r="G23" s="82"/>
      <c r="H23" s="87" t="s">
        <v>45</v>
      </c>
      <c r="I23" s="88">
        <f t="shared" ref="I23:J23" si="0">I22/I21*100</f>
        <v>77.960524285862348</v>
      </c>
      <c r="J23" s="88">
        <f t="shared" si="0"/>
        <v>78.732859441271202</v>
      </c>
      <c r="K23" s="157">
        <f>AVERAGE(I23:J23)</f>
        <v>78.346691863566775</v>
      </c>
      <c r="L23">
        <f>_xlfn.STDEV.S(I23:J23)</f>
        <v>0.54612342573836659</v>
      </c>
    </row>
    <row r="24" spans="1:12" ht="15" thickBot="1" x14ac:dyDescent="0.35">
      <c r="A24" s="65"/>
    </row>
    <row r="25" spans="1:12" ht="16.2" customHeight="1" thickBot="1" x14ac:dyDescent="0.35">
      <c r="A25" s="254" t="s">
        <v>46</v>
      </c>
      <c r="B25" s="54" t="s">
        <v>28</v>
      </c>
      <c r="C25" s="55" t="s">
        <v>29</v>
      </c>
      <c r="D25" s="55" t="s">
        <v>29</v>
      </c>
      <c r="G25" s="254" t="s">
        <v>46</v>
      </c>
      <c r="H25" s="54" t="s">
        <v>28</v>
      </c>
      <c r="I25" s="55" t="s">
        <v>29</v>
      </c>
      <c r="J25" s="55" t="s">
        <v>29</v>
      </c>
    </row>
    <row r="26" spans="1:12" ht="14.4" customHeight="1" x14ac:dyDescent="0.3">
      <c r="A26" s="254"/>
      <c r="B26" s="56" t="s">
        <v>30</v>
      </c>
      <c r="C26" s="57">
        <f>C12</f>
        <v>30</v>
      </c>
      <c r="D26" s="57">
        <f>D12</f>
        <v>30</v>
      </c>
      <c r="G26" s="254"/>
      <c r="H26" s="56" t="s">
        <v>31</v>
      </c>
      <c r="I26" s="57">
        <f>I12</f>
        <v>244.1</v>
      </c>
      <c r="J26" s="57">
        <f>J12</f>
        <v>244.1</v>
      </c>
    </row>
    <row r="27" spans="1:12" ht="14.4" customHeight="1" x14ac:dyDescent="0.3">
      <c r="A27" s="254"/>
      <c r="B27" s="241" t="s">
        <v>32</v>
      </c>
      <c r="C27" s="59">
        <f>C26*$L$2/0.5</f>
        <v>4.1642162302220829</v>
      </c>
      <c r="D27" s="59">
        <f>D26*$L$2/0.5</f>
        <v>4.1642162302220829</v>
      </c>
      <c r="G27" s="254"/>
      <c r="H27" s="58" t="s">
        <v>32</v>
      </c>
      <c r="I27" s="59">
        <f>I26*$L$3/0.5</f>
        <v>4.2232049423374978</v>
      </c>
      <c r="J27" s="59">
        <f>J26*$L$3/0.5</f>
        <v>4.2232049423374978</v>
      </c>
    </row>
    <row r="28" spans="1:12" ht="14.4" customHeight="1" x14ac:dyDescent="0.3">
      <c r="A28" s="254"/>
      <c r="B28" s="236" t="s">
        <v>33</v>
      </c>
      <c r="C28" s="247">
        <f>C14</f>
        <v>1.1201044662360728</v>
      </c>
      <c r="D28" s="247">
        <f>D14</f>
        <v>1.1068761246658396</v>
      </c>
      <c r="G28" s="254"/>
      <c r="H28" s="242" t="s">
        <v>33</v>
      </c>
      <c r="I28" s="244">
        <f>I14</f>
        <v>1.0360276019347456</v>
      </c>
      <c r="J28" s="244">
        <f>J14</f>
        <v>1.0256090959074864</v>
      </c>
    </row>
    <row r="29" spans="1:12" ht="14.4" customHeight="1" x14ac:dyDescent="0.3">
      <c r="A29" s="254"/>
      <c r="B29" s="235" t="s">
        <v>34</v>
      </c>
      <c r="C29" s="238">
        <f>C27*C28</f>
        <v>4.664357197844498</v>
      </c>
      <c r="D29" s="238">
        <f>D27*D28</f>
        <v>4.6092715231788111</v>
      </c>
      <c r="G29" s="254"/>
      <c r="H29" s="239" t="s">
        <v>34</v>
      </c>
      <c r="I29" s="238">
        <f>I27*I28</f>
        <v>4.3753568888888834</v>
      </c>
      <c r="J29" s="238">
        <f>J27*J28</f>
        <v>4.331357402742789</v>
      </c>
    </row>
    <row r="30" spans="1:12" ht="14.4" customHeight="1" x14ac:dyDescent="0.3">
      <c r="A30" s="254"/>
      <c r="B30" s="58" t="s">
        <v>35</v>
      </c>
      <c r="C30" s="59">
        <v>7.8299999999999995E-2</v>
      </c>
      <c r="D30" s="59">
        <v>0.05</v>
      </c>
      <c r="G30" s="254"/>
      <c r="H30" s="58" t="s">
        <v>35</v>
      </c>
      <c r="I30" s="59">
        <v>8.9800000000000005E-2</v>
      </c>
      <c r="J30" s="59">
        <v>8.2600000000000007E-2</v>
      </c>
    </row>
    <row r="31" spans="1:12" ht="14.4" customHeight="1" x14ac:dyDescent="0.3">
      <c r="A31" s="254"/>
      <c r="B31" s="58" t="s">
        <v>37</v>
      </c>
      <c r="C31" s="59">
        <v>30.015000000000001</v>
      </c>
      <c r="D31" s="60">
        <v>30.406400000000001</v>
      </c>
      <c r="G31" s="254"/>
      <c r="H31" s="58" t="s">
        <v>37</v>
      </c>
      <c r="I31" s="60">
        <v>30.072199999999999</v>
      </c>
      <c r="J31" s="60">
        <v>30.996400000000001</v>
      </c>
    </row>
    <row r="32" spans="1:12" ht="16.2" customHeight="1" thickBot="1" x14ac:dyDescent="0.4">
      <c r="A32" s="254"/>
      <c r="B32" s="61" t="s">
        <v>38</v>
      </c>
      <c r="C32" s="62">
        <f>$I$8*0.01/0.5</f>
        <v>106.40997028470794</v>
      </c>
      <c r="D32" s="62">
        <f>$I$8*0.01/0.5</f>
        <v>106.40997028470794</v>
      </c>
      <c r="G32" s="254"/>
      <c r="H32" s="61" t="s">
        <v>39</v>
      </c>
      <c r="I32" s="62">
        <f>$I$8*0.02/1</f>
        <v>106.40997028470794</v>
      </c>
      <c r="J32" s="62">
        <f>$I$8*0.02/1</f>
        <v>106.40997028470794</v>
      </c>
    </row>
    <row r="33" spans="1:12" ht="16.2" customHeight="1" thickBot="1" x14ac:dyDescent="0.35">
      <c r="A33" s="254"/>
      <c r="B33" s="74" t="s">
        <v>47</v>
      </c>
      <c r="C33" s="77">
        <v>26.594161987304688</v>
      </c>
      <c r="D33" s="78">
        <v>17.375516891479492</v>
      </c>
      <c r="G33" s="254"/>
      <c r="H33" s="74" t="s">
        <v>47</v>
      </c>
      <c r="I33" s="75">
        <v>69.142677307128906</v>
      </c>
      <c r="J33" s="76">
        <v>62.825401306152344</v>
      </c>
    </row>
    <row r="34" spans="1:12" ht="14.4" customHeight="1" x14ac:dyDescent="0.3">
      <c r="A34" s="254"/>
      <c r="B34" s="89" t="s">
        <v>42</v>
      </c>
      <c r="C34" s="90">
        <f>C33*C31/(C30*1000)</f>
        <v>10.194428761800131</v>
      </c>
      <c r="D34" s="90">
        <f>D33*D31/(D30*1000)</f>
        <v>10.56653833618164</v>
      </c>
      <c r="E34" s="157">
        <f>AVERAGE(C34:D34)</f>
        <v>10.380483548990885</v>
      </c>
      <c r="F34">
        <f>_xlfn.STDEV.S(C34:D34)</f>
        <v>0.26312120338960537</v>
      </c>
      <c r="G34" s="254"/>
      <c r="H34" s="89" t="s">
        <v>42</v>
      </c>
      <c r="I34" s="90">
        <f>I33*I31/(I30*1000)</f>
        <v>23.154481297499348</v>
      </c>
      <c r="J34" s="90">
        <f>J33*J31/(J30*1000)</f>
        <v>23.575802288692742</v>
      </c>
      <c r="K34" s="157">
        <f>AVERAGE(I34:J34)</f>
        <v>23.365141793096043</v>
      </c>
      <c r="L34">
        <f>_xlfn.STDEV.S(I34:J34)</f>
        <v>0.29791892992908636</v>
      </c>
    </row>
    <row r="35" spans="1:12" ht="14.4" customHeight="1" x14ac:dyDescent="0.3">
      <c r="A35" s="254"/>
      <c r="B35" s="58" t="s">
        <v>48</v>
      </c>
      <c r="C35" s="63">
        <f>$I$8*0.01</f>
        <v>53.204985142353969</v>
      </c>
      <c r="D35" s="63">
        <f>$I$8*0.01</f>
        <v>53.204985142353969</v>
      </c>
      <c r="G35" s="254"/>
      <c r="H35" s="58" t="s">
        <v>48</v>
      </c>
      <c r="I35" s="63">
        <f>$I$8*0.01</f>
        <v>53.204985142353969</v>
      </c>
      <c r="J35" s="63">
        <f>$I$8*0.01</f>
        <v>53.204985142353969</v>
      </c>
    </row>
    <row r="36" spans="1:12" ht="14.4" customHeight="1" x14ac:dyDescent="0.3">
      <c r="A36" s="254"/>
      <c r="B36" s="58" t="s">
        <v>49</v>
      </c>
      <c r="C36" s="64">
        <f>(C34*C29*0.5)</f>
        <v>23.775228586507705</v>
      </c>
      <c r="D36" s="64">
        <f>(D34*D29*0.5)</f>
        <v>24.352022125769626</v>
      </c>
      <c r="G36" s="254"/>
      <c r="H36" s="58" t="s">
        <v>49</v>
      </c>
      <c r="I36" s="64">
        <f>(I34*I29*0.5)</f>
        <v>50.654559626831293</v>
      </c>
      <c r="J36" s="64">
        <f>(J34*J29*0.5)</f>
        <v>51.05761288436485</v>
      </c>
    </row>
    <row r="37" spans="1:12" ht="14.4" customHeight="1" x14ac:dyDescent="0.3">
      <c r="A37" s="254"/>
      <c r="B37" s="91" t="s">
        <v>45</v>
      </c>
      <c r="C37" s="92">
        <f>C36/C35*100</f>
        <v>44.686091957163939</v>
      </c>
      <c r="D37" s="92">
        <f>D36/D35*100</f>
        <v>45.770188753204131</v>
      </c>
      <c r="E37" s="157">
        <f>AVERAGE(C37:D37)</f>
        <v>45.228140355184038</v>
      </c>
      <c r="F37">
        <f>_xlfn.STDEV.S(C37:D37)</f>
        <v>0.76657219594262971</v>
      </c>
      <c r="G37" s="254"/>
      <c r="H37" s="91" t="s">
        <v>45</v>
      </c>
      <c r="I37" s="92">
        <f t="shared" ref="I37:J37" si="1">I36/I35*100</f>
        <v>95.206416262125032</v>
      </c>
      <c r="J37" s="92">
        <f t="shared" si="1"/>
        <v>95.963964180717909</v>
      </c>
      <c r="K37" s="157">
        <f>AVERAGE(I37:J37)</f>
        <v>95.58519022142147</v>
      </c>
      <c r="L37">
        <f>_xlfn.STDEV.S(I37:J37)</f>
        <v>0.5356672703107781</v>
      </c>
    </row>
  </sheetData>
  <mergeCells count="4">
    <mergeCell ref="B10:D10"/>
    <mergeCell ref="H10:J10"/>
    <mergeCell ref="G25:G37"/>
    <mergeCell ref="A25:A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08DC-77C9-44FA-9D30-671BBEBF128D}">
  <dimension ref="B2:J19"/>
  <sheetViews>
    <sheetView zoomScale="85" zoomScaleNormal="85" workbookViewId="0">
      <selection activeCell="E19" sqref="E19"/>
    </sheetView>
  </sheetViews>
  <sheetFormatPr baseColWidth="10" defaultColWidth="11.44140625" defaultRowHeight="14.4" x14ac:dyDescent="0.3"/>
  <cols>
    <col min="2" max="2" width="28.33203125" bestFit="1" customWidth="1"/>
    <col min="7" max="7" width="28.33203125" bestFit="1" customWidth="1"/>
    <col min="8" max="9" width="12.88671875" bestFit="1" customWidth="1"/>
  </cols>
  <sheetData>
    <row r="2" spans="2:9" x14ac:dyDescent="0.3">
      <c r="B2" s="228"/>
      <c r="C2" s="228" t="s">
        <v>50</v>
      </c>
      <c r="D2" s="228" t="s">
        <v>51</v>
      </c>
      <c r="G2" s="228"/>
      <c r="H2" s="228" t="s">
        <v>52</v>
      </c>
      <c r="I2" s="228" t="s">
        <v>53</v>
      </c>
    </row>
    <row r="3" spans="2:9" x14ac:dyDescent="0.3">
      <c r="B3" s="229" t="s">
        <v>54</v>
      </c>
      <c r="C3" s="234">
        <v>43.3</v>
      </c>
      <c r="D3" s="234">
        <v>45.3</v>
      </c>
      <c r="G3" s="229" t="s">
        <v>54</v>
      </c>
      <c r="H3" s="234">
        <v>250</v>
      </c>
      <c r="I3" s="234">
        <v>238.2</v>
      </c>
    </row>
    <row r="4" spans="2:9" x14ac:dyDescent="0.3">
      <c r="B4" s="230" t="s">
        <v>55</v>
      </c>
      <c r="C4" s="231">
        <f>C3*$E$19/0.5</f>
        <v>6.0103520922872056</v>
      </c>
      <c r="D4" s="231">
        <f>D3*$E$19/0.5</f>
        <v>6.2879665076353444</v>
      </c>
      <c r="G4" s="230" t="s">
        <v>55</v>
      </c>
      <c r="H4" s="231">
        <f>H3*$J$19/0.5</f>
        <v>4.3252815878098119</v>
      </c>
      <c r="I4" s="231">
        <f>I3*$J$19/0.5</f>
        <v>4.1211282968651881</v>
      </c>
    </row>
    <row r="5" spans="2:9" x14ac:dyDescent="0.3">
      <c r="B5" s="229" t="s">
        <v>56</v>
      </c>
      <c r="C5" s="107">
        <v>9.8294999999999995</v>
      </c>
      <c r="D5" s="107">
        <v>9.8513000000000002</v>
      </c>
      <c r="G5" s="229" t="s">
        <v>56</v>
      </c>
      <c r="H5" s="107">
        <v>9.5558999999999994</v>
      </c>
      <c r="I5" s="107">
        <v>9.5427</v>
      </c>
    </row>
    <row r="6" spans="2:9" x14ac:dyDescent="0.3">
      <c r="B6" s="229" t="s">
        <v>57</v>
      </c>
      <c r="C6" s="107">
        <v>9.2235999999999994</v>
      </c>
      <c r="D6" s="107">
        <v>9.2248999999999999</v>
      </c>
      <c r="G6" s="229" t="s">
        <v>57</v>
      </c>
      <c r="H6" s="107">
        <v>9.1525999999999996</v>
      </c>
      <c r="I6" s="107">
        <v>9.1623000000000001</v>
      </c>
    </row>
    <row r="7" spans="2:9" x14ac:dyDescent="0.3">
      <c r="B7" s="229" t="s">
        <v>58</v>
      </c>
      <c r="C7" s="232">
        <f>((C5-C6)/45)*C8</f>
        <v>6.7322222222222239</v>
      </c>
      <c r="D7" s="232">
        <f t="shared" ref="D7" si="0">((D5-D6)/45)*D8</f>
        <v>6.9600000000000035</v>
      </c>
      <c r="G7" s="229" t="s">
        <v>58</v>
      </c>
      <c r="H7" s="232">
        <f>((H5-H6)/45)*H8</f>
        <v>4.4811111111111082</v>
      </c>
      <c r="I7" s="232">
        <f t="shared" ref="I7" si="1">((I5-I6)/45)*I8</f>
        <v>4.2266666666666648</v>
      </c>
    </row>
    <row r="8" spans="2:9" x14ac:dyDescent="0.3">
      <c r="B8" s="229" t="s">
        <v>59</v>
      </c>
      <c r="C8" s="107">
        <v>500</v>
      </c>
      <c r="D8" s="107">
        <v>500</v>
      </c>
      <c r="G8" s="229" t="s">
        <v>59</v>
      </c>
      <c r="H8" s="107">
        <v>500</v>
      </c>
      <c r="I8" s="107">
        <v>500</v>
      </c>
    </row>
    <row r="9" spans="2:9" ht="15.6" x14ac:dyDescent="0.3">
      <c r="B9" s="230" t="s">
        <v>33</v>
      </c>
      <c r="C9" s="233">
        <f>C7/C4</f>
        <v>1.1201044662360728</v>
      </c>
      <c r="D9" s="233">
        <f t="shared" ref="D9" si="2">D7/D4</f>
        <v>1.1068761246658396</v>
      </c>
      <c r="G9" s="230" t="s">
        <v>33</v>
      </c>
      <c r="H9" s="233">
        <f>H7/H4</f>
        <v>1.0360276019347456</v>
      </c>
      <c r="I9" s="233">
        <f t="shared" ref="I9" si="3">I7/I4</f>
        <v>1.0256090959074864</v>
      </c>
    </row>
    <row r="10" spans="2:9" x14ac:dyDescent="0.3">
      <c r="B10" s="229"/>
      <c r="C10" s="108"/>
      <c r="D10" s="107"/>
      <c r="G10" s="229"/>
      <c r="H10" s="108"/>
      <c r="I10" s="107"/>
    </row>
    <row r="14" spans="2:9" ht="15.6" x14ac:dyDescent="0.3">
      <c r="B14" s="5" t="s">
        <v>60</v>
      </c>
      <c r="C14" s="6" t="s">
        <v>61</v>
      </c>
      <c r="D14" s="6" t="s">
        <v>62</v>
      </c>
      <c r="G14" s="5" t="s">
        <v>63</v>
      </c>
      <c r="H14" s="6" t="s">
        <v>64</v>
      </c>
      <c r="I14" s="6" t="s">
        <v>65</v>
      </c>
    </row>
    <row r="15" spans="2:9" x14ac:dyDescent="0.3">
      <c r="B15" s="6" t="s">
        <v>66</v>
      </c>
      <c r="C15" s="7">
        <v>9.2665000000000006</v>
      </c>
      <c r="D15" s="7">
        <v>9.2591000000000001</v>
      </c>
      <c r="G15" s="6" t="s">
        <v>66</v>
      </c>
      <c r="H15" s="7">
        <v>9.1898</v>
      </c>
      <c r="I15" s="7">
        <v>9.1895000000000007</v>
      </c>
    </row>
    <row r="16" spans="2:9" x14ac:dyDescent="0.3">
      <c r="B16" s="6" t="s">
        <v>67</v>
      </c>
      <c r="C16" s="7">
        <v>12.1844</v>
      </c>
      <c r="D16" s="7">
        <v>11.8531</v>
      </c>
      <c r="G16" s="6" t="s">
        <v>67</v>
      </c>
      <c r="H16" s="7">
        <v>14.871</v>
      </c>
      <c r="I16" s="7">
        <v>16.405899999999999</v>
      </c>
    </row>
    <row r="17" spans="2:10" x14ac:dyDescent="0.3">
      <c r="B17" s="6" t="s">
        <v>68</v>
      </c>
      <c r="C17" s="7">
        <v>9.4677000000000007</v>
      </c>
      <c r="D17" s="7">
        <v>9.4403000000000006</v>
      </c>
      <c r="G17" s="6" t="s">
        <v>68</v>
      </c>
      <c r="H17" s="7">
        <v>9.2380999999999993</v>
      </c>
      <c r="I17" s="7">
        <v>9.2530000000000001</v>
      </c>
    </row>
    <row r="18" spans="2:10" x14ac:dyDescent="0.3">
      <c r="B18" s="6" t="s">
        <v>69</v>
      </c>
      <c r="C18" s="7">
        <f>C17-C15</f>
        <v>0.20120000000000005</v>
      </c>
      <c r="D18" s="7">
        <f>D17-D15</f>
        <v>0.18120000000000047</v>
      </c>
      <c r="G18" s="6" t="s">
        <v>69</v>
      </c>
      <c r="H18" s="7">
        <f>H17-H15</f>
        <v>4.8299999999999343E-2</v>
      </c>
      <c r="I18" s="7">
        <f>I17-I15</f>
        <v>6.3499999999999446E-2</v>
      </c>
    </row>
    <row r="19" spans="2:10" x14ac:dyDescent="0.3">
      <c r="B19" s="6" t="s">
        <v>70</v>
      </c>
      <c r="C19" s="8">
        <f>C18/(C16-C15)</f>
        <v>6.8953699578463992E-2</v>
      </c>
      <c r="D19" s="8">
        <f>D18/(D16-D15)</f>
        <v>6.9853508095605435E-2</v>
      </c>
      <c r="E19" s="28">
        <f>AVERAGE(C19:D19)</f>
        <v>6.9403603837034714E-2</v>
      </c>
      <c r="G19" s="6" t="s">
        <v>70</v>
      </c>
      <c r="H19" s="8">
        <f>H18/(H16-H15)</f>
        <v>8.5017249876785436E-3</v>
      </c>
      <c r="I19" s="8">
        <f>I18/(I16-I15)</f>
        <v>8.7994013635607042E-3</v>
      </c>
      <c r="J19" s="73">
        <f>AVERAGE(H19:I19)</f>
        <v>8.650563175619623E-3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FCBF-2276-43AA-A6DF-C205B80D5517}">
  <dimension ref="B2:J7"/>
  <sheetViews>
    <sheetView workbookViewId="0">
      <selection activeCell="G13" sqref="G13"/>
    </sheetView>
  </sheetViews>
  <sheetFormatPr baseColWidth="10" defaultColWidth="11.44140625" defaultRowHeight="14.4" x14ac:dyDescent="0.3"/>
  <cols>
    <col min="2" max="2" width="27.5546875" bestFit="1" customWidth="1"/>
    <col min="7" max="7" width="27.5546875" bestFit="1" customWidth="1"/>
  </cols>
  <sheetData>
    <row r="2" spans="2:10" ht="15.6" x14ac:dyDescent="0.3">
      <c r="B2" s="5" t="s">
        <v>60</v>
      </c>
      <c r="C2" s="6" t="s">
        <v>61</v>
      </c>
      <c r="D2" s="6" t="s">
        <v>62</v>
      </c>
      <c r="G2" s="5" t="s">
        <v>63</v>
      </c>
      <c r="H2" s="6" t="s">
        <v>64</v>
      </c>
      <c r="I2" s="6" t="s">
        <v>65</v>
      </c>
    </row>
    <row r="3" spans="2:10" x14ac:dyDescent="0.3">
      <c r="B3" s="6" t="s">
        <v>66</v>
      </c>
      <c r="C3" s="7">
        <v>9.2665000000000006</v>
      </c>
      <c r="D3" s="7">
        <v>9.2591000000000001</v>
      </c>
      <c r="G3" s="6" t="s">
        <v>66</v>
      </c>
      <c r="H3" s="7">
        <v>9.1898</v>
      </c>
      <c r="I3" s="7">
        <v>9.1895000000000007</v>
      </c>
    </row>
    <row r="4" spans="2:10" x14ac:dyDescent="0.3">
      <c r="B4" s="6" t="s">
        <v>67</v>
      </c>
      <c r="C4" s="7">
        <v>12.1844</v>
      </c>
      <c r="D4" s="7">
        <v>11.8531</v>
      </c>
      <c r="G4" s="6" t="s">
        <v>67</v>
      </c>
      <c r="H4" s="7">
        <v>14.871</v>
      </c>
      <c r="I4" s="7">
        <v>16.405899999999999</v>
      </c>
    </row>
    <row r="5" spans="2:10" x14ac:dyDescent="0.3">
      <c r="B5" s="6" t="s">
        <v>68</v>
      </c>
      <c r="C5" s="7">
        <v>9.4677000000000007</v>
      </c>
      <c r="D5" s="7">
        <v>9.4403000000000006</v>
      </c>
      <c r="G5" s="6" t="s">
        <v>68</v>
      </c>
      <c r="H5" s="7">
        <v>9.2380999999999993</v>
      </c>
      <c r="I5" s="7">
        <v>9.2530000000000001</v>
      </c>
    </row>
    <row r="6" spans="2:10" x14ac:dyDescent="0.3">
      <c r="B6" s="6" t="s">
        <v>69</v>
      </c>
      <c r="C6" s="7">
        <f>C5-C3</f>
        <v>0.20120000000000005</v>
      </c>
      <c r="D6" s="7">
        <f>D5-D3</f>
        <v>0.18120000000000047</v>
      </c>
      <c r="G6" s="6" t="s">
        <v>69</v>
      </c>
      <c r="H6" s="7">
        <f>H5-H3</f>
        <v>4.8299999999999343E-2</v>
      </c>
      <c r="I6" s="7">
        <f>I5-I3</f>
        <v>6.3499999999999446E-2</v>
      </c>
    </row>
    <row r="7" spans="2:10" x14ac:dyDescent="0.3">
      <c r="B7" s="6" t="s">
        <v>70</v>
      </c>
      <c r="C7" s="8">
        <f>C6/(C4-C3)</f>
        <v>6.8953699578463992E-2</v>
      </c>
      <c r="D7" s="8">
        <f>D6/(D4-D3)</f>
        <v>6.9853508095605435E-2</v>
      </c>
      <c r="E7" s="28">
        <f>AVERAGE(C7:D7)</f>
        <v>6.9403603837034714E-2</v>
      </c>
      <c r="G7" s="6" t="s">
        <v>70</v>
      </c>
      <c r="H7" s="8">
        <f>H6/(H4-H3)</f>
        <v>8.5017249876785436E-3</v>
      </c>
      <c r="I7" s="8">
        <f>I6/(I4-I3)</f>
        <v>8.7994013635607042E-3</v>
      </c>
      <c r="J7" s="73">
        <f>AVERAGE(H7:I7)</f>
        <v>8.650563175619623E-3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AF55-01C8-4B5F-8EDC-C587597F9035}">
  <dimension ref="B1:P51"/>
  <sheetViews>
    <sheetView topLeftCell="A28" zoomScale="98" zoomScaleNormal="98" workbookViewId="0">
      <selection activeCell="D54" sqref="D54"/>
    </sheetView>
  </sheetViews>
  <sheetFormatPr baseColWidth="10" defaultColWidth="11.5546875" defaultRowHeight="14.4" x14ac:dyDescent="0.3"/>
  <cols>
    <col min="4" max="4" width="17.5546875" customWidth="1"/>
    <col min="5" max="5" width="15" customWidth="1"/>
    <col min="6" max="6" width="13.6640625" customWidth="1"/>
    <col min="7" max="7" width="17.6640625" customWidth="1"/>
    <col min="8" max="8" width="12.44140625" customWidth="1"/>
    <col min="13" max="13" width="27.5546875" bestFit="1" customWidth="1"/>
  </cols>
  <sheetData>
    <row r="1" spans="2:16" ht="15" thickBot="1" x14ac:dyDescent="0.35"/>
    <row r="2" spans="2:16" ht="16.2" thickBot="1" x14ac:dyDescent="0.35">
      <c r="B2" s="4" t="s">
        <v>36</v>
      </c>
      <c r="C2" s="173" t="s">
        <v>71</v>
      </c>
    </row>
    <row r="3" spans="2:16" ht="16.2" thickBot="1" x14ac:dyDescent="0.35">
      <c r="B3" s="202" t="s">
        <v>72</v>
      </c>
      <c r="C3" s="47" t="s">
        <v>73</v>
      </c>
      <c r="D3" s="47" t="s">
        <v>74</v>
      </c>
      <c r="E3" s="47" t="s">
        <v>75</v>
      </c>
      <c r="F3" s="47" t="s">
        <v>76</v>
      </c>
      <c r="G3" s="47" t="s">
        <v>77</v>
      </c>
      <c r="H3" s="47" t="s">
        <v>78</v>
      </c>
      <c r="I3" s="46" t="s">
        <v>79</v>
      </c>
      <c r="J3" s="47" t="s">
        <v>80</v>
      </c>
      <c r="K3" s="47" t="s">
        <v>81</v>
      </c>
      <c r="M3" s="13" t="s">
        <v>63</v>
      </c>
      <c r="N3" s="14">
        <v>1</v>
      </c>
      <c r="O3" s="15">
        <v>2</v>
      </c>
    </row>
    <row r="4" spans="2:16" x14ac:dyDescent="0.3">
      <c r="B4" s="277" t="s">
        <v>82</v>
      </c>
      <c r="C4" s="29">
        <v>1</v>
      </c>
      <c r="D4" s="20">
        <v>0.497</v>
      </c>
      <c r="E4" s="20">
        <f>D4*$P$10</f>
        <v>3.6353330297281876E-2</v>
      </c>
      <c r="F4" s="11">
        <v>20</v>
      </c>
      <c r="G4" s="11">
        <v>1.9904807806015015</v>
      </c>
      <c r="H4" s="32">
        <f>(G4*F4*10^(-3))/E4</f>
        <v>1.0950747919512227</v>
      </c>
      <c r="I4" s="280">
        <f>AVERAGE(H4:H6)</f>
        <v>1.0772305653205003</v>
      </c>
      <c r="J4" s="259">
        <f>_xlfn.STDEV.S(H4:H6)/AVERAGE(H4:H6)*100</f>
        <v>6.6667831543971099</v>
      </c>
      <c r="K4" s="259">
        <f>I4/$I$23*100</f>
        <v>5.7883035807542464</v>
      </c>
      <c r="M4" s="16" t="s">
        <v>66</v>
      </c>
      <c r="N4" s="7">
        <v>9.2586999999999993</v>
      </c>
      <c r="O4" s="17">
        <v>9.2830999999999992</v>
      </c>
    </row>
    <row r="5" spans="2:16" x14ac:dyDescent="0.3">
      <c r="B5" s="278"/>
      <c r="C5" s="36">
        <v>2</v>
      </c>
      <c r="D5" s="21">
        <v>0.55020000000000002</v>
      </c>
      <c r="E5" s="21">
        <f t="shared" ref="E5:E8" si="0">D5*$P$10</f>
        <v>4.0244672695300784E-2</v>
      </c>
      <c r="F5" s="26">
        <v>20</v>
      </c>
      <c r="G5" s="26">
        <v>2.2908127307891846</v>
      </c>
      <c r="H5" s="37">
        <f t="shared" ref="H5:H8" si="1">(G5*F5*10^(-3))/E5</f>
        <v>1.1384427191809037</v>
      </c>
      <c r="I5" s="281"/>
      <c r="J5" s="267"/>
      <c r="K5" s="267"/>
      <c r="M5" s="16" t="s">
        <v>67</v>
      </c>
      <c r="N5" s="7">
        <v>10.340999999999999</v>
      </c>
      <c r="O5" s="17">
        <v>10.424799999999999</v>
      </c>
    </row>
    <row r="6" spans="2:16" ht="15" thickBot="1" x14ac:dyDescent="0.35">
      <c r="B6" s="279"/>
      <c r="C6" s="30">
        <v>3</v>
      </c>
      <c r="D6" s="22">
        <v>0.96009999999999995</v>
      </c>
      <c r="E6" s="22">
        <f t="shared" si="0"/>
        <v>7.0227026998833653E-2</v>
      </c>
      <c r="F6" s="31">
        <v>20</v>
      </c>
      <c r="G6" s="31">
        <v>3.5049402713775635</v>
      </c>
      <c r="H6" s="38">
        <f t="shared" si="1"/>
        <v>0.9981741848293747</v>
      </c>
      <c r="I6" s="282"/>
      <c r="J6" s="260"/>
      <c r="K6" s="260"/>
      <c r="M6" s="16" t="s">
        <v>68</v>
      </c>
      <c r="N6" s="7">
        <v>9.3355999999999995</v>
      </c>
      <c r="O6" s="17">
        <v>9.3689999999999998</v>
      </c>
    </row>
    <row r="7" spans="2:16" ht="15.6" x14ac:dyDescent="0.3">
      <c r="B7" s="211"/>
      <c r="C7" s="29">
        <v>4</v>
      </c>
      <c r="D7" s="20">
        <v>0.49330000000000002</v>
      </c>
      <c r="E7" s="20">
        <f t="shared" si="0"/>
        <v>3.6082691822231693E-2</v>
      </c>
      <c r="F7" s="11">
        <v>30</v>
      </c>
      <c r="G7" s="11">
        <v>3.5028812885284424</v>
      </c>
      <c r="H7" s="32">
        <f t="shared" si="1"/>
        <v>2.9123780225040248</v>
      </c>
      <c r="I7" s="204"/>
      <c r="J7" s="205"/>
      <c r="K7" s="205"/>
      <c r="M7" s="16"/>
      <c r="N7" s="7"/>
      <c r="O7" s="110"/>
    </row>
    <row r="8" spans="2:16" ht="16.2" thickBot="1" x14ac:dyDescent="0.35">
      <c r="B8" s="211"/>
      <c r="C8" s="30">
        <v>5</v>
      </c>
      <c r="D8" s="22">
        <v>0.54459999999999997</v>
      </c>
      <c r="E8" s="22">
        <f t="shared" si="0"/>
        <v>3.9835057706035633E-2</v>
      </c>
      <c r="F8" s="31">
        <v>40</v>
      </c>
      <c r="G8" s="31">
        <v>3.004986047744751</v>
      </c>
      <c r="H8" s="38">
        <f t="shared" si="1"/>
        <v>3.0174285875724474</v>
      </c>
      <c r="I8" s="204"/>
      <c r="J8" s="205"/>
      <c r="K8" s="205"/>
      <c r="M8" s="16"/>
      <c r="N8" s="7"/>
      <c r="O8" s="110"/>
    </row>
    <row r="9" spans="2:16" ht="15" thickBot="1" x14ac:dyDescent="0.35">
      <c r="B9" s="261" t="s">
        <v>83</v>
      </c>
      <c r="C9" s="29">
        <v>1</v>
      </c>
      <c r="D9" s="20">
        <v>0.65200000000000002</v>
      </c>
      <c r="E9" s="20">
        <f>D9*$P$10</f>
        <v>4.7690888035870793E-2</v>
      </c>
      <c r="F9" s="11">
        <v>20</v>
      </c>
      <c r="G9" s="11">
        <v>24.588117599487305</v>
      </c>
      <c r="H9" s="33">
        <f t="shared" ref="H9:H24" si="2">(G9*F9*10^(-3))/E9</f>
        <v>10.311453031024838</v>
      </c>
      <c r="I9" s="264">
        <f>AVERAGE(H9:H11)</f>
        <v>10.30532334924507</v>
      </c>
      <c r="J9" s="259">
        <f>_xlfn.STDEV.S(H9:H11)/AVERAGE(H9:H11)*100</f>
        <v>3.7671524789464761</v>
      </c>
      <c r="K9" s="259">
        <f>I9/$I$23*100</f>
        <v>55.373790870405038</v>
      </c>
      <c r="M9" s="16" t="s">
        <v>69</v>
      </c>
      <c r="N9" s="7">
        <f>N6-N4</f>
        <v>7.690000000000019E-2</v>
      </c>
      <c r="O9" s="7">
        <f>O6-O4</f>
        <v>8.5900000000000531E-2</v>
      </c>
    </row>
    <row r="10" spans="2:16" ht="15" thickBot="1" x14ac:dyDescent="0.35">
      <c r="B10" s="262"/>
      <c r="C10" s="36">
        <v>2</v>
      </c>
      <c r="D10" s="21">
        <v>0.61199999999999999</v>
      </c>
      <c r="E10" s="21">
        <f t="shared" ref="E10:E22" si="3">D10*$P$10</f>
        <v>4.4765066683976874E-2</v>
      </c>
      <c r="F10" s="26">
        <v>20</v>
      </c>
      <c r="G10" s="26">
        <v>23.927911758422852</v>
      </c>
      <c r="H10" s="39">
        <f t="shared" si="2"/>
        <v>10.690439456884608</v>
      </c>
      <c r="I10" s="265"/>
      <c r="J10" s="267"/>
      <c r="K10" s="267"/>
      <c r="M10" s="18" t="s">
        <v>70</v>
      </c>
      <c r="N10" s="19">
        <f>N9/(N5-N4)</f>
        <v>7.1052388432043048E-2</v>
      </c>
      <c r="O10" s="19">
        <f>O9/(O5-O4)</f>
        <v>7.5238679162652644E-2</v>
      </c>
      <c r="P10" s="23">
        <f>AVERAGE(N10:O10)</f>
        <v>7.3145533797347839E-2</v>
      </c>
    </row>
    <row r="11" spans="2:16" ht="15" thickBot="1" x14ac:dyDescent="0.35">
      <c r="B11" s="263"/>
      <c r="C11" s="30">
        <v>3</v>
      </c>
      <c r="D11" s="22">
        <v>0.75080000000000002</v>
      </c>
      <c r="E11" s="22">
        <f t="shared" si="3"/>
        <v>5.4917666775048758E-2</v>
      </c>
      <c r="F11" s="31">
        <v>20</v>
      </c>
      <c r="G11" s="31">
        <v>27.222900390625</v>
      </c>
      <c r="H11" s="40">
        <f t="shared" si="2"/>
        <v>9.9140775598257669</v>
      </c>
      <c r="I11" s="266"/>
      <c r="J11" s="260"/>
      <c r="K11" s="260"/>
    </row>
    <row r="12" spans="2:16" ht="15.6" x14ac:dyDescent="0.3">
      <c r="B12" s="210"/>
      <c r="C12" s="29">
        <v>4</v>
      </c>
      <c r="D12" s="20">
        <v>0.50149999999999995</v>
      </c>
      <c r="E12" s="20">
        <f t="shared" si="3"/>
        <v>3.6682485199369938E-2</v>
      </c>
      <c r="F12" s="11">
        <v>30</v>
      </c>
      <c r="G12" s="11">
        <v>20.748758316040039</v>
      </c>
      <c r="H12" s="33">
        <f t="shared" si="2"/>
        <v>16.968936158444702</v>
      </c>
      <c r="I12" s="206"/>
      <c r="J12" s="205"/>
      <c r="K12" s="205"/>
    </row>
    <row r="13" spans="2:16" ht="16.2" thickBot="1" x14ac:dyDescent="0.35">
      <c r="B13" s="210"/>
      <c r="C13" s="30">
        <v>5</v>
      </c>
      <c r="D13" s="22">
        <v>0.48130000000000001</v>
      </c>
      <c r="E13" s="22">
        <f t="shared" si="3"/>
        <v>3.5204945416663518E-2</v>
      </c>
      <c r="F13" s="31">
        <v>40</v>
      </c>
      <c r="G13" s="31">
        <v>16.073902130126953</v>
      </c>
      <c r="H13" s="40">
        <f t="shared" si="2"/>
        <v>18.263231986172844</v>
      </c>
      <c r="I13" s="206"/>
      <c r="J13" s="205"/>
      <c r="K13" s="205"/>
    </row>
    <row r="14" spans="2:16" ht="15.6" x14ac:dyDescent="0.3">
      <c r="B14" s="210"/>
      <c r="C14" s="29">
        <v>6</v>
      </c>
      <c r="D14" s="20">
        <v>0.99529999999999996</v>
      </c>
      <c r="E14" s="20">
        <f t="shared" si="3"/>
        <v>7.2801749788500306E-2</v>
      </c>
      <c r="F14" s="11">
        <v>30</v>
      </c>
      <c r="G14" s="11">
        <v>33.296981811523438</v>
      </c>
      <c r="H14" s="33">
        <f t="shared" si="2"/>
        <v>13.720953922779064</v>
      </c>
      <c r="I14" s="206"/>
      <c r="J14" s="205"/>
      <c r="K14" s="205"/>
    </row>
    <row r="15" spans="2:16" ht="16.2" thickBot="1" x14ac:dyDescent="0.35">
      <c r="B15" s="210"/>
      <c r="C15" s="30">
        <v>7</v>
      </c>
      <c r="D15" s="22">
        <v>1.0163</v>
      </c>
      <c r="E15" s="22">
        <f t="shared" si="3"/>
        <v>7.4337805998244605E-2</v>
      </c>
      <c r="F15" s="31">
        <v>40</v>
      </c>
      <c r="G15" s="31">
        <v>23.827253341674805</v>
      </c>
      <c r="H15" s="40">
        <f t="shared" si="2"/>
        <v>12.821068914644835</v>
      </c>
      <c r="I15" s="206"/>
      <c r="J15" s="205"/>
      <c r="K15" s="205"/>
    </row>
    <row r="16" spans="2:16" x14ac:dyDescent="0.3">
      <c r="B16" s="268" t="s">
        <v>84</v>
      </c>
      <c r="C16" s="29">
        <v>1</v>
      </c>
      <c r="D16" s="20">
        <v>0.59819999999999995</v>
      </c>
      <c r="E16" s="20">
        <f t="shared" si="3"/>
        <v>4.3755658317573477E-2</v>
      </c>
      <c r="F16" s="11">
        <v>20</v>
      </c>
      <c r="G16" s="11">
        <v>26.847557067871094</v>
      </c>
      <c r="H16" s="35">
        <f t="shared" si="2"/>
        <v>12.271581825150314</v>
      </c>
      <c r="I16" s="271">
        <f>AVERAGE(H16:H18)</f>
        <v>12.510390060518427</v>
      </c>
      <c r="J16" s="259">
        <f>_xlfn.STDEV.S(H16:H18)/AVERAGE(H16:H18)*100</f>
        <v>3.9378269015591827</v>
      </c>
      <c r="K16" s="259">
        <f>I16/$I$23*100</f>
        <v>67.222317965315398</v>
      </c>
    </row>
    <row r="17" spans="2:15" x14ac:dyDescent="0.3">
      <c r="B17" s="269"/>
      <c r="C17" s="36">
        <v>2</v>
      </c>
      <c r="D17" s="21">
        <v>0.45369999999999999</v>
      </c>
      <c r="E17" s="21">
        <f t="shared" si="3"/>
        <v>3.3186128683856717E-2</v>
      </c>
      <c r="F17" s="26">
        <v>20</v>
      </c>
      <c r="G17" s="26">
        <v>21.698614120483398</v>
      </c>
      <c r="H17" s="41">
        <f t="shared" si="2"/>
        <v>13.076917966052857</v>
      </c>
      <c r="I17" s="272"/>
      <c r="J17" s="267"/>
      <c r="K17" s="267"/>
    </row>
    <row r="18" spans="2:15" ht="15" thickBot="1" x14ac:dyDescent="0.35">
      <c r="B18" s="270"/>
      <c r="C18" s="30">
        <v>3</v>
      </c>
      <c r="D18" s="22">
        <v>0.89800000000000002</v>
      </c>
      <c r="E18" s="22">
        <f t="shared" si="3"/>
        <v>6.5684689350018366E-2</v>
      </c>
      <c r="F18" s="31">
        <v>20</v>
      </c>
      <c r="G18" s="31">
        <v>40.010746002197266</v>
      </c>
      <c r="H18" s="42">
        <f t="shared" si="2"/>
        <v>12.18267039035211</v>
      </c>
      <c r="I18" s="273"/>
      <c r="J18" s="260"/>
      <c r="K18" s="260"/>
    </row>
    <row r="19" spans="2:15" ht="15.6" x14ac:dyDescent="0.3">
      <c r="B19" s="208"/>
      <c r="C19" s="29">
        <v>4</v>
      </c>
      <c r="D19" s="20">
        <v>0.52039999999999997</v>
      </c>
      <c r="E19" s="20">
        <f t="shared" si="3"/>
        <v>3.8064935788139811E-2</v>
      </c>
      <c r="F19" s="11">
        <v>30</v>
      </c>
      <c r="G19" s="11">
        <v>20.68773078918457</v>
      </c>
      <c r="H19" s="35">
        <f t="shared" si="2"/>
        <v>16.304557221108258</v>
      </c>
      <c r="I19" s="207"/>
      <c r="J19" s="205"/>
      <c r="K19" s="205"/>
    </row>
    <row r="20" spans="2:15" ht="16.2" thickBot="1" x14ac:dyDescent="0.35">
      <c r="B20" s="208"/>
      <c r="C20" s="30">
        <v>5</v>
      </c>
      <c r="D20" s="22">
        <v>0.50219999999999998</v>
      </c>
      <c r="E20" s="22">
        <f t="shared" si="3"/>
        <v>3.6733687073028085E-2</v>
      </c>
      <c r="F20" s="31">
        <v>40</v>
      </c>
      <c r="G20" s="31">
        <v>14.378354072570801</v>
      </c>
      <c r="H20" s="42">
        <f t="shared" si="2"/>
        <v>15.65685910481683</v>
      </c>
      <c r="I20" s="207"/>
      <c r="J20" s="205"/>
      <c r="K20" s="205"/>
    </row>
    <row r="21" spans="2:15" ht="15.6" x14ac:dyDescent="0.3">
      <c r="B21" s="208"/>
      <c r="C21" s="29">
        <v>6</v>
      </c>
      <c r="D21" s="20">
        <v>1.0879000000000001</v>
      </c>
      <c r="E21" s="20">
        <f t="shared" si="3"/>
        <v>7.9575026218134726E-2</v>
      </c>
      <c r="F21" s="11">
        <v>30</v>
      </c>
      <c r="G21" s="11">
        <v>36.853118896484375</v>
      </c>
      <c r="H21" s="35">
        <f t="shared" si="2"/>
        <v>13.893725449286405</v>
      </c>
      <c r="I21" s="207"/>
      <c r="J21" s="205"/>
      <c r="K21" s="205"/>
    </row>
    <row r="22" spans="2:15" ht="16.2" thickBot="1" x14ac:dyDescent="0.35">
      <c r="B22" s="208"/>
      <c r="C22" s="30">
        <v>7</v>
      </c>
      <c r="D22" s="22">
        <v>1.0404</v>
      </c>
      <c r="E22" s="22">
        <f t="shared" si="3"/>
        <v>7.6100613362760694E-2</v>
      </c>
      <c r="F22" s="31">
        <v>40</v>
      </c>
      <c r="G22" s="31">
        <v>27.74323844909668</v>
      </c>
      <c r="H22" s="42">
        <f t="shared" si="2"/>
        <v>14.582399391105376</v>
      </c>
      <c r="I22" s="207"/>
      <c r="J22" s="205"/>
      <c r="K22" s="205"/>
    </row>
    <row r="23" spans="2:15" ht="14.4" customHeight="1" x14ac:dyDescent="0.3">
      <c r="B23" s="255" t="s">
        <v>85</v>
      </c>
      <c r="C23" s="142" t="s">
        <v>64</v>
      </c>
      <c r="D23" s="135" t="s">
        <v>86</v>
      </c>
      <c r="E23" s="135">
        <v>8.9800000000000005E-2</v>
      </c>
      <c r="F23" s="135">
        <v>30.072199999999999</v>
      </c>
      <c r="G23" s="123">
        <v>55.018848419189403</v>
      </c>
      <c r="H23" s="144">
        <f t="shared" si="2"/>
        <v>18.424697254248855</v>
      </c>
      <c r="I23" s="257">
        <f>AVERAGE(H23:H24)</f>
        <v>18.610471104214813</v>
      </c>
      <c r="J23" s="259">
        <f>_xlfn.STDEV.S(H23:H24)/AVERAGE(H23:H24)*100</f>
        <v>1.4116993421871098</v>
      </c>
      <c r="K23" s="259">
        <f>I23/I23*100</f>
        <v>100</v>
      </c>
    </row>
    <row r="24" spans="2:15" ht="14.4" customHeight="1" thickBot="1" x14ac:dyDescent="0.35">
      <c r="B24" s="256"/>
      <c r="C24" s="30" t="s">
        <v>65</v>
      </c>
      <c r="D24" s="3" t="s">
        <v>86</v>
      </c>
      <c r="E24" s="3">
        <v>8.2600000000000007E-2</v>
      </c>
      <c r="F24" s="3">
        <v>30.996400000000001</v>
      </c>
      <c r="G24" s="31">
        <v>50.088714599609375</v>
      </c>
      <c r="H24" s="43">
        <f t="shared" si="2"/>
        <v>18.796244954180771</v>
      </c>
      <c r="I24" s="258"/>
      <c r="J24" s="260"/>
      <c r="K24" s="260"/>
    </row>
    <row r="25" spans="2:15" ht="14.4" customHeight="1" x14ac:dyDescent="0.3">
      <c r="B25" s="106"/>
      <c r="C25" s="107"/>
      <c r="D25" s="107"/>
      <c r="E25" s="107"/>
      <c r="F25" s="107"/>
      <c r="G25" s="108"/>
      <c r="H25" s="109"/>
      <c r="I25" s="109"/>
      <c r="J25" s="108"/>
      <c r="K25" s="108"/>
    </row>
    <row r="26" spans="2:15" ht="15" customHeight="1" x14ac:dyDescent="0.3"/>
    <row r="27" spans="2:15" ht="15" thickBot="1" x14ac:dyDescent="0.35"/>
    <row r="28" spans="2:15" ht="16.2" thickBot="1" x14ac:dyDescent="0.35">
      <c r="B28" s="4" t="s">
        <v>46</v>
      </c>
      <c r="C28" s="173" t="s">
        <v>71</v>
      </c>
    </row>
    <row r="29" spans="2:15" ht="15" thickBot="1" x14ac:dyDescent="0.35">
      <c r="B29" s="202" t="s">
        <v>72</v>
      </c>
      <c r="C29" s="47" t="s">
        <v>73</v>
      </c>
      <c r="D29" s="47" t="s">
        <v>74</v>
      </c>
      <c r="E29" s="47" t="s">
        <v>75</v>
      </c>
      <c r="F29" s="47" t="s">
        <v>76</v>
      </c>
      <c r="G29" s="47" t="s">
        <v>87</v>
      </c>
      <c r="H29" s="47" t="s">
        <v>88</v>
      </c>
      <c r="I29" s="46" t="s">
        <v>79</v>
      </c>
      <c r="J29" s="47" t="s">
        <v>89</v>
      </c>
      <c r="K29" s="47" t="s">
        <v>81</v>
      </c>
    </row>
    <row r="30" spans="2:15" ht="15" customHeight="1" thickBot="1" x14ac:dyDescent="0.35">
      <c r="B30" s="277" t="s">
        <v>82</v>
      </c>
      <c r="C30" s="212">
        <v>1</v>
      </c>
      <c r="D30" s="151">
        <f>D4</f>
        <v>0.497</v>
      </c>
      <c r="E30" s="20">
        <f>D30*$P$10</f>
        <v>3.6353330297281876E-2</v>
      </c>
      <c r="F30" s="11">
        <f>F4</f>
        <v>20</v>
      </c>
      <c r="G30" s="11">
        <v>6.8807997703552246</v>
      </c>
      <c r="H30" s="32">
        <f>(G30*F30*10^(-3))/E30</f>
        <v>3.7855127516995051</v>
      </c>
      <c r="I30" s="280">
        <f>AVERAGE(H30:H32)</f>
        <v>3.3454559914130635</v>
      </c>
      <c r="J30" s="259">
        <f>_xlfn.STDEV.S(H30:H32)/AVERAGE(H30:H32)*100</f>
        <v>19.567047139934811</v>
      </c>
      <c r="K30" s="259">
        <f>I30/$I$49*100</f>
        <v>14.318149750760689</v>
      </c>
    </row>
    <row r="31" spans="2:15" ht="14.4" customHeight="1" x14ac:dyDescent="0.3">
      <c r="B31" s="278"/>
      <c r="C31" s="154">
        <v>2</v>
      </c>
      <c r="D31" s="152">
        <f t="shared" ref="D31:D48" si="4">D5</f>
        <v>0.55020000000000002</v>
      </c>
      <c r="E31" s="21">
        <f t="shared" ref="E31:E48" si="5">D31*$P$10</f>
        <v>4.0244672695300784E-2</v>
      </c>
      <c r="F31" s="26">
        <f>F5</f>
        <v>20</v>
      </c>
      <c r="G31" s="26">
        <v>7.3600692749023438</v>
      </c>
      <c r="H31" s="37">
        <f t="shared" ref="H31:H34" si="6">(G31*F31*10^(-3))/E31</f>
        <v>3.6576613906773061</v>
      </c>
      <c r="I31" s="281"/>
      <c r="J31" s="267"/>
      <c r="K31" s="267"/>
      <c r="M31" s="274" t="s">
        <v>90</v>
      </c>
      <c r="N31" s="111" t="s">
        <v>91</v>
      </c>
      <c r="O31" s="112" t="s">
        <v>92</v>
      </c>
    </row>
    <row r="32" spans="2:15" ht="15" customHeight="1" thickBot="1" x14ac:dyDescent="0.35">
      <c r="B32" s="279"/>
      <c r="C32" s="213">
        <v>3</v>
      </c>
      <c r="D32" s="153">
        <f t="shared" si="4"/>
        <v>0.96009999999999995</v>
      </c>
      <c r="E32" s="22">
        <f t="shared" si="5"/>
        <v>7.0227026998833653E-2</v>
      </c>
      <c r="F32" s="31">
        <f>F6</f>
        <v>20</v>
      </c>
      <c r="G32" s="31">
        <v>9.1056146621704102</v>
      </c>
      <c r="H32" s="38">
        <f t="shared" si="6"/>
        <v>2.5931938318623793</v>
      </c>
      <c r="I32" s="282"/>
      <c r="J32" s="260"/>
      <c r="K32" s="260"/>
      <c r="M32" s="275"/>
      <c r="N32" s="120"/>
      <c r="O32" s="121"/>
    </row>
    <row r="33" spans="2:15" ht="15" customHeight="1" x14ac:dyDescent="0.3">
      <c r="B33" s="211"/>
      <c r="C33" s="115">
        <v>4</v>
      </c>
      <c r="D33" s="149">
        <f t="shared" si="4"/>
        <v>0.49330000000000002</v>
      </c>
      <c r="E33" s="20">
        <f t="shared" si="5"/>
        <v>3.6082691822231693E-2</v>
      </c>
      <c r="F33" s="11">
        <v>30</v>
      </c>
      <c r="G33" s="11">
        <v>6.023223876953125</v>
      </c>
      <c r="H33" s="32">
        <f>(G33*F33*10^(-3))/E33</f>
        <v>5.0078502235595614</v>
      </c>
      <c r="I33" s="204"/>
      <c r="J33" s="205"/>
      <c r="K33" s="205"/>
      <c r="M33" s="275"/>
      <c r="N33" s="120"/>
      <c r="O33" s="121"/>
    </row>
    <row r="34" spans="2:15" ht="15" customHeight="1" thickBot="1" x14ac:dyDescent="0.35">
      <c r="B34" s="211"/>
      <c r="C34" s="115">
        <v>5</v>
      </c>
      <c r="D34" s="150">
        <f t="shared" si="4"/>
        <v>0.54459999999999997</v>
      </c>
      <c r="E34" s="22">
        <f t="shared" si="5"/>
        <v>3.9835057706035633E-2</v>
      </c>
      <c r="F34" s="31">
        <v>40</v>
      </c>
      <c r="G34" s="31">
        <v>5.5740585327148438</v>
      </c>
      <c r="H34" s="38">
        <f t="shared" si="6"/>
        <v>5.5971386549494433</v>
      </c>
      <c r="I34" s="204"/>
      <c r="J34" s="205"/>
      <c r="K34" s="205"/>
      <c r="M34" s="276"/>
      <c r="N34" s="113" t="s">
        <v>93</v>
      </c>
      <c r="O34" s="114" t="s">
        <v>93</v>
      </c>
    </row>
    <row r="35" spans="2:15" ht="14.4" customHeight="1" x14ac:dyDescent="0.3">
      <c r="B35" s="261" t="s">
        <v>83</v>
      </c>
      <c r="C35" s="212">
        <v>1</v>
      </c>
      <c r="D35" s="151">
        <f t="shared" si="4"/>
        <v>0.65200000000000002</v>
      </c>
      <c r="E35" s="20">
        <f t="shared" si="5"/>
        <v>4.7690888035870793E-2</v>
      </c>
      <c r="F35" s="11">
        <f>F9</f>
        <v>20</v>
      </c>
      <c r="G35" s="11">
        <v>58.900360107421875</v>
      </c>
      <c r="H35" s="33">
        <f>(G35*F35*10^(-3))/E35</f>
        <v>24.700886283820029</v>
      </c>
      <c r="I35" s="264">
        <f>AVERAGE(H35:H37)</f>
        <v>24.546956133518137</v>
      </c>
      <c r="J35" s="259">
        <f>_xlfn.STDEV.S(H35:H37)/AVERAGE(H35:H37)*100</f>
        <v>1.4917016865020674</v>
      </c>
      <c r="K35" s="259">
        <f>I35/$I$49*100</f>
        <v>105.05802340463988</v>
      </c>
      <c r="M35" s="115" t="s">
        <v>94</v>
      </c>
      <c r="N35" s="108">
        <v>3.5028812885284424</v>
      </c>
      <c r="O35" s="116">
        <v>6.023223876953125</v>
      </c>
    </row>
    <row r="36" spans="2:15" ht="14.4" customHeight="1" x14ac:dyDescent="0.3">
      <c r="B36" s="262"/>
      <c r="C36" s="154">
        <v>2</v>
      </c>
      <c r="D36" s="152">
        <f t="shared" si="4"/>
        <v>0.61199999999999999</v>
      </c>
      <c r="E36" s="21">
        <f t="shared" si="5"/>
        <v>4.4765066683976874E-2</v>
      </c>
      <c r="F36" s="26">
        <f>F10</f>
        <v>20</v>
      </c>
      <c r="G36" s="26">
        <v>55.533370971679688</v>
      </c>
      <c r="H36" s="39">
        <f t="shared" ref="H36:H41" si="7">(G36*F36*10^(-3))/E36</f>
        <v>24.811030156046744</v>
      </c>
      <c r="I36" s="265"/>
      <c r="J36" s="267"/>
      <c r="K36" s="267"/>
      <c r="M36" s="115" t="s">
        <v>95</v>
      </c>
      <c r="N36" s="108">
        <v>20.748758316040039</v>
      </c>
      <c r="O36" s="116">
        <v>31.659112930297852</v>
      </c>
    </row>
    <row r="37" spans="2:15" ht="15" customHeight="1" thickBot="1" x14ac:dyDescent="0.35">
      <c r="B37" s="263"/>
      <c r="C37" s="213">
        <v>3</v>
      </c>
      <c r="D37" s="153">
        <f t="shared" si="4"/>
        <v>0.75080000000000002</v>
      </c>
      <c r="E37" s="22">
        <f t="shared" si="5"/>
        <v>5.4917666775048758E-2</v>
      </c>
      <c r="F37" s="31">
        <f>F11</f>
        <v>20</v>
      </c>
      <c r="G37" s="31">
        <v>66.255287170410156</v>
      </c>
      <c r="H37" s="40">
        <f t="shared" si="7"/>
        <v>24.12895196068764</v>
      </c>
      <c r="I37" s="266"/>
      <c r="J37" s="260"/>
      <c r="K37" s="260"/>
      <c r="M37" s="115" t="s">
        <v>96</v>
      </c>
      <c r="N37" s="108">
        <v>20.68773078918457</v>
      </c>
      <c r="O37" s="116">
        <v>25.712881088256836</v>
      </c>
    </row>
    <row r="38" spans="2:15" ht="15" customHeight="1" x14ac:dyDescent="0.3">
      <c r="B38" s="210"/>
      <c r="C38" s="115">
        <v>4</v>
      </c>
      <c r="D38" s="149">
        <f t="shared" si="4"/>
        <v>0.50149999999999995</v>
      </c>
      <c r="E38" s="20">
        <f t="shared" si="5"/>
        <v>3.6682485199369938E-2</v>
      </c>
      <c r="F38" s="11">
        <v>30</v>
      </c>
      <c r="G38" s="11">
        <v>31.659112930297852</v>
      </c>
      <c r="H38" s="33">
        <f t="shared" si="7"/>
        <v>25.891740506317959</v>
      </c>
      <c r="I38" s="206"/>
      <c r="J38" s="205"/>
      <c r="K38" s="205"/>
      <c r="M38" s="115" t="s">
        <v>97</v>
      </c>
      <c r="N38" s="108">
        <v>3.004986047744751</v>
      </c>
      <c r="O38" s="116">
        <v>5.5740585327148438</v>
      </c>
    </row>
    <row r="39" spans="2:15" ht="15" customHeight="1" thickBot="1" x14ac:dyDescent="0.35">
      <c r="B39" s="210"/>
      <c r="C39" s="115">
        <v>5</v>
      </c>
      <c r="D39" s="150">
        <f t="shared" si="4"/>
        <v>0.48130000000000001</v>
      </c>
      <c r="E39" s="22">
        <f t="shared" si="5"/>
        <v>3.5204945416663518E-2</v>
      </c>
      <c r="F39" s="31">
        <v>40</v>
      </c>
      <c r="G39" s="31">
        <v>23.486221313476563</v>
      </c>
      <c r="H39" s="40">
        <f t="shared" si="7"/>
        <v>26.685138733218835</v>
      </c>
      <c r="I39" s="206"/>
      <c r="J39" s="205"/>
      <c r="K39" s="205"/>
      <c r="M39" s="115"/>
      <c r="N39" s="108"/>
      <c r="O39" s="116"/>
    </row>
    <row r="40" spans="2:15" ht="15" customHeight="1" x14ac:dyDescent="0.3">
      <c r="B40" s="210"/>
      <c r="C40" s="115">
        <v>6</v>
      </c>
      <c r="D40" s="149">
        <f t="shared" si="4"/>
        <v>0.99529999999999996</v>
      </c>
      <c r="E40" s="20">
        <f t="shared" si="5"/>
        <v>7.2801749788500306E-2</v>
      </c>
      <c r="F40" s="11">
        <v>30</v>
      </c>
      <c r="G40" s="11">
        <v>58.32257080078125</v>
      </c>
      <c r="H40" s="33">
        <f t="shared" si="7"/>
        <v>24.033448771581789</v>
      </c>
      <c r="I40" s="206"/>
      <c r="J40" s="205"/>
      <c r="K40" s="205"/>
      <c r="M40" s="115"/>
      <c r="N40" s="108"/>
      <c r="O40" s="116"/>
    </row>
    <row r="41" spans="2:15" ht="15" customHeight="1" thickBot="1" x14ac:dyDescent="0.35">
      <c r="B41" s="210"/>
      <c r="C41" s="115">
        <v>7</v>
      </c>
      <c r="D41" s="150">
        <f t="shared" si="4"/>
        <v>1.0163</v>
      </c>
      <c r="E41" s="22">
        <f t="shared" si="5"/>
        <v>7.4337805998244605E-2</v>
      </c>
      <c r="F41" s="31">
        <v>40</v>
      </c>
      <c r="G41" s="31">
        <v>42.610195159912109</v>
      </c>
      <c r="H41" s="40">
        <f t="shared" si="7"/>
        <v>22.927873421993809</v>
      </c>
      <c r="I41" s="206"/>
      <c r="J41" s="205"/>
      <c r="K41" s="205"/>
      <c r="M41" s="115" t="s">
        <v>98</v>
      </c>
      <c r="N41" s="108">
        <v>16.073902130126953</v>
      </c>
      <c r="O41" s="116">
        <v>23.486221313476563</v>
      </c>
    </row>
    <row r="42" spans="2:15" ht="14.4" customHeight="1" x14ac:dyDescent="0.3">
      <c r="B42" s="268" t="s">
        <v>84</v>
      </c>
      <c r="C42" s="212">
        <v>1</v>
      </c>
      <c r="D42" s="151">
        <f t="shared" si="4"/>
        <v>0.59819999999999995</v>
      </c>
      <c r="E42" s="20">
        <f t="shared" si="5"/>
        <v>4.3755658317573477E-2</v>
      </c>
      <c r="F42" s="11">
        <f>F16</f>
        <v>20</v>
      </c>
      <c r="G42" s="11">
        <v>41.343914031982422</v>
      </c>
      <c r="H42" s="35">
        <f t="shared" ref="H42:H50" si="8">(G42*F42*10^(-3))/E42</f>
        <v>18.897630899260207</v>
      </c>
      <c r="I42" s="271">
        <f>AVERAGE(H42:H44)</f>
        <v>19.019716130179422</v>
      </c>
      <c r="J42" s="259">
        <f>_xlfn.STDEV.S(H42:H44)/AVERAGE(H42:H44)*100</f>
        <v>3.7371651617199042</v>
      </c>
      <c r="K42" s="259">
        <f>I42/$I$49*100</f>
        <v>81.402100182415253</v>
      </c>
      <c r="M42" s="115" t="s">
        <v>99</v>
      </c>
      <c r="N42" s="108">
        <v>14.378354072570801</v>
      </c>
      <c r="O42" s="116">
        <v>17.550207138061523</v>
      </c>
    </row>
    <row r="43" spans="2:15" ht="14.4" customHeight="1" x14ac:dyDescent="0.3">
      <c r="B43" s="269"/>
      <c r="C43" s="154">
        <v>2</v>
      </c>
      <c r="D43" s="152">
        <f t="shared" si="4"/>
        <v>0.45369999999999999</v>
      </c>
      <c r="E43" s="21">
        <f t="shared" si="5"/>
        <v>3.3186128683856717E-2</v>
      </c>
      <c r="F43" s="26">
        <f>F17</f>
        <v>20</v>
      </c>
      <c r="G43" s="26">
        <v>32.827136993408203</v>
      </c>
      <c r="H43" s="41">
        <f t="shared" si="8"/>
        <v>19.783649551974921</v>
      </c>
      <c r="I43" s="272"/>
      <c r="J43" s="267"/>
      <c r="K43" s="267"/>
      <c r="M43" s="115" t="s">
        <v>100</v>
      </c>
      <c r="N43" s="108">
        <v>33.296981811523438</v>
      </c>
      <c r="O43" s="116">
        <v>58.32257080078125</v>
      </c>
    </row>
    <row r="44" spans="2:15" ht="15" customHeight="1" thickBot="1" x14ac:dyDescent="0.35">
      <c r="B44" s="270"/>
      <c r="C44" s="213">
        <v>3</v>
      </c>
      <c r="D44" s="153">
        <f t="shared" si="4"/>
        <v>0.89800000000000002</v>
      </c>
      <c r="E44" s="22">
        <f t="shared" si="5"/>
        <v>6.5684689350018366E-2</v>
      </c>
      <c r="F44" s="31">
        <f>F18</f>
        <v>20</v>
      </c>
      <c r="G44" s="31">
        <v>60.357227325439453</v>
      </c>
      <c r="H44" s="42">
        <f t="shared" si="8"/>
        <v>18.377867939303144</v>
      </c>
      <c r="I44" s="273"/>
      <c r="J44" s="260"/>
      <c r="K44" s="260"/>
      <c r="M44" s="115" t="s">
        <v>101</v>
      </c>
      <c r="N44" s="108">
        <v>23.827253341674805</v>
      </c>
      <c r="O44" s="116">
        <v>42.610195159912109</v>
      </c>
    </row>
    <row r="45" spans="2:15" ht="15" customHeight="1" x14ac:dyDescent="0.3">
      <c r="B45" s="208"/>
      <c r="C45" s="115">
        <v>4</v>
      </c>
      <c r="D45" s="149">
        <f t="shared" si="4"/>
        <v>0.52039999999999997</v>
      </c>
      <c r="E45" s="20">
        <f t="shared" si="5"/>
        <v>3.8064935788139811E-2</v>
      </c>
      <c r="F45" s="11">
        <v>30</v>
      </c>
      <c r="G45" s="11">
        <v>25.712881088256836</v>
      </c>
      <c r="H45" s="35">
        <f t="shared" si="8"/>
        <v>20.265013369287018</v>
      </c>
      <c r="I45" s="207"/>
      <c r="J45" s="205"/>
      <c r="K45" s="205"/>
      <c r="M45" s="115" t="s">
        <v>102</v>
      </c>
      <c r="N45" s="108">
        <v>36.853118896484375</v>
      </c>
      <c r="O45" s="116">
        <v>46.180561065673828</v>
      </c>
    </row>
    <row r="46" spans="2:15" ht="15" customHeight="1" thickBot="1" x14ac:dyDescent="0.35">
      <c r="B46" s="208"/>
      <c r="C46" s="115">
        <v>5</v>
      </c>
      <c r="D46" s="150">
        <f t="shared" si="4"/>
        <v>0.50219999999999998</v>
      </c>
      <c r="E46" s="22">
        <f t="shared" si="5"/>
        <v>3.6733687073028085E-2</v>
      </c>
      <c r="F46" s="31">
        <v>40</v>
      </c>
      <c r="G46" s="31">
        <v>17.550207138061523</v>
      </c>
      <c r="H46" s="42">
        <f t="shared" si="8"/>
        <v>19.110749327363724</v>
      </c>
      <c r="I46" s="207"/>
      <c r="J46" s="205"/>
      <c r="K46" s="205"/>
      <c r="M46" s="117" t="s">
        <v>103</v>
      </c>
      <c r="N46" s="118">
        <v>27.74323844909668</v>
      </c>
      <c r="O46" s="119">
        <v>34.443450927734375</v>
      </c>
    </row>
    <row r="47" spans="2:15" ht="15" customHeight="1" x14ac:dyDescent="0.3">
      <c r="B47" s="208"/>
      <c r="C47" s="115">
        <v>6</v>
      </c>
      <c r="D47" s="149">
        <f t="shared" si="4"/>
        <v>1.0879000000000001</v>
      </c>
      <c r="E47" s="20">
        <f t="shared" si="5"/>
        <v>7.9575026218134726E-2</v>
      </c>
      <c r="F47" s="11">
        <v>30</v>
      </c>
      <c r="G47" s="11">
        <v>46.180561065673828</v>
      </c>
      <c r="H47" s="35">
        <f t="shared" si="8"/>
        <v>17.410196362014968</v>
      </c>
      <c r="I47" s="207"/>
      <c r="J47" s="205"/>
      <c r="K47" s="205"/>
    </row>
    <row r="48" spans="2:15" ht="15" customHeight="1" thickBot="1" x14ac:dyDescent="0.35">
      <c r="B48" s="208"/>
      <c r="C48" s="115">
        <v>7</v>
      </c>
      <c r="D48" s="150">
        <f t="shared" si="4"/>
        <v>1.0404</v>
      </c>
      <c r="E48" s="22">
        <f t="shared" si="5"/>
        <v>7.6100613362760694E-2</v>
      </c>
      <c r="F48" s="31">
        <v>40</v>
      </c>
      <c r="G48" s="31">
        <v>34.443450927734375</v>
      </c>
      <c r="H48" s="42">
        <f t="shared" si="8"/>
        <v>18.104164687108312</v>
      </c>
      <c r="I48" s="207"/>
      <c r="J48" s="205"/>
      <c r="K48" s="205"/>
    </row>
    <row r="49" spans="2:11" ht="14.4" customHeight="1" x14ac:dyDescent="0.3">
      <c r="B49" s="255" t="s">
        <v>85</v>
      </c>
      <c r="C49" s="29" t="s">
        <v>64</v>
      </c>
      <c r="D49" s="135" t="s">
        <v>86</v>
      </c>
      <c r="E49" s="135">
        <f>E23</f>
        <v>8.9800000000000005E-2</v>
      </c>
      <c r="F49" s="135">
        <f t="shared" ref="F49:F50" si="9">F23</f>
        <v>30.072199999999999</v>
      </c>
      <c r="G49" s="123">
        <v>69.142677307128906</v>
      </c>
      <c r="H49" s="144">
        <f>(G49*F49*10^(-3))/E49</f>
        <v>23.154481297499352</v>
      </c>
      <c r="I49" s="257">
        <f>AVERAGE(H49:H50)</f>
        <v>23.365141793096047</v>
      </c>
      <c r="J49" s="259">
        <f>_xlfn.STDEV.S(H49:H50)/AVERAGE(H49:H50)*100</f>
        <v>1.2750572308408299</v>
      </c>
      <c r="K49" s="259">
        <f>I49/I49*100</f>
        <v>100</v>
      </c>
    </row>
    <row r="50" spans="2:11" ht="14.4" customHeight="1" thickBot="1" x14ac:dyDescent="0.35">
      <c r="B50" s="256"/>
      <c r="C50" s="30" t="s">
        <v>65</v>
      </c>
      <c r="D50" s="3" t="s">
        <v>86</v>
      </c>
      <c r="E50" s="3">
        <f>E24</f>
        <v>8.2600000000000007E-2</v>
      </c>
      <c r="F50" s="3">
        <f t="shared" si="9"/>
        <v>30.996400000000001</v>
      </c>
      <c r="G50" s="31">
        <v>62.825401306152344</v>
      </c>
      <c r="H50" s="43">
        <f t="shared" si="8"/>
        <v>23.575802288692742</v>
      </c>
      <c r="I50" s="258"/>
      <c r="J50" s="260"/>
      <c r="K50" s="260"/>
    </row>
    <row r="51" spans="2:11" ht="15" customHeight="1" x14ac:dyDescent="0.3"/>
  </sheetData>
  <mergeCells count="33">
    <mergeCell ref="B4:B6"/>
    <mergeCell ref="I4:I6"/>
    <mergeCell ref="J4:J6"/>
    <mergeCell ref="K4:K6"/>
    <mergeCell ref="B9:B11"/>
    <mergeCell ref="I9:I11"/>
    <mergeCell ref="J9:J11"/>
    <mergeCell ref="K9:K11"/>
    <mergeCell ref="B16:B18"/>
    <mergeCell ref="I16:I18"/>
    <mergeCell ref="J16:J18"/>
    <mergeCell ref="K16:K18"/>
    <mergeCell ref="B23:B24"/>
    <mergeCell ref="I23:I24"/>
    <mergeCell ref="J23:J24"/>
    <mergeCell ref="K23:K24"/>
    <mergeCell ref="M31:M34"/>
    <mergeCell ref="B30:B32"/>
    <mergeCell ref="I30:I32"/>
    <mergeCell ref="J30:J32"/>
    <mergeCell ref="K30:K32"/>
    <mergeCell ref="B49:B50"/>
    <mergeCell ref="I49:I50"/>
    <mergeCell ref="J49:J50"/>
    <mergeCell ref="K49:K50"/>
    <mergeCell ref="B35:B37"/>
    <mergeCell ref="I35:I37"/>
    <mergeCell ref="J35:J37"/>
    <mergeCell ref="K35:K37"/>
    <mergeCell ref="B42:B44"/>
    <mergeCell ref="I42:I44"/>
    <mergeCell ref="J42:J44"/>
    <mergeCell ref="K42:K4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1073-0B54-4D9E-AD18-024A41006BB0}">
  <dimension ref="B1:P68"/>
  <sheetViews>
    <sheetView topLeftCell="A20" zoomScale="55" zoomScaleNormal="55" workbookViewId="0">
      <selection activeCell="I5" sqref="I5"/>
    </sheetView>
  </sheetViews>
  <sheetFormatPr baseColWidth="10" defaultColWidth="11.44140625" defaultRowHeight="14.4" x14ac:dyDescent="0.3"/>
  <cols>
    <col min="2" max="2" width="14" customWidth="1"/>
    <col min="3" max="3" width="16.109375" bestFit="1" customWidth="1"/>
    <col min="4" max="4" width="17.5546875" customWidth="1"/>
    <col min="5" max="5" width="15" customWidth="1"/>
    <col min="6" max="6" width="13.6640625" customWidth="1"/>
    <col min="7" max="7" width="17.6640625" customWidth="1"/>
    <col min="8" max="8" width="12.44140625" customWidth="1"/>
    <col min="9" max="9" width="15.33203125" bestFit="1" customWidth="1"/>
    <col min="10" max="10" width="12.33203125" customWidth="1"/>
    <col min="11" max="12" width="12.44140625" customWidth="1"/>
    <col min="13" max="13" width="26.6640625" customWidth="1"/>
    <col min="14" max="16" width="13.6640625" bestFit="1" customWidth="1"/>
  </cols>
  <sheetData>
    <row r="1" spans="2:16" ht="15" thickBot="1" x14ac:dyDescent="0.35"/>
    <row r="2" spans="2:16" ht="16.2" thickBot="1" x14ac:dyDescent="0.35">
      <c r="B2" s="4" t="s">
        <v>36</v>
      </c>
    </row>
    <row r="3" spans="2:16" ht="16.2" thickBot="1" x14ac:dyDescent="0.35">
      <c r="B3" s="209" t="s">
        <v>72</v>
      </c>
      <c r="C3" s="47" t="s">
        <v>73</v>
      </c>
      <c r="D3" s="47" t="s">
        <v>74</v>
      </c>
      <c r="E3" s="47" t="s">
        <v>75</v>
      </c>
      <c r="F3" s="47" t="s">
        <v>76</v>
      </c>
      <c r="G3" s="47" t="s">
        <v>77</v>
      </c>
      <c r="H3" s="47" t="s">
        <v>78</v>
      </c>
      <c r="I3" s="47" t="s">
        <v>104</v>
      </c>
      <c r="J3" s="158" t="s">
        <v>105</v>
      </c>
      <c r="K3" s="158" t="s">
        <v>106</v>
      </c>
      <c r="L3" s="47"/>
      <c r="M3" s="13" t="s">
        <v>60</v>
      </c>
      <c r="N3" s="14">
        <v>1</v>
      </c>
      <c r="O3" s="15">
        <v>2</v>
      </c>
    </row>
    <row r="4" spans="2:16" ht="15" thickBot="1" x14ac:dyDescent="0.35">
      <c r="B4" s="285" t="s">
        <v>82</v>
      </c>
      <c r="C4" s="29" t="s">
        <v>61</v>
      </c>
      <c r="D4" s="20">
        <v>0.74919999999999998</v>
      </c>
      <c r="E4" s="20">
        <f>D4*$P$8</f>
        <v>0.15791985242637491</v>
      </c>
      <c r="F4" s="11">
        <v>20</v>
      </c>
      <c r="G4" s="11">
        <v>7.7400360107421875</v>
      </c>
      <c r="H4" s="32">
        <f>(G4*F4*10^(-3))/E4</f>
        <v>0.98024863775132165</v>
      </c>
      <c r="I4" s="225">
        <f>H4/$I$13*100</f>
        <v>9.9522091355209525</v>
      </c>
      <c r="J4" s="259">
        <f>AVERAGE(I4:I6)</f>
        <v>12.509424606254163</v>
      </c>
      <c r="K4" s="259">
        <f>_xlfn.STDEV.S(I4:I6)</f>
        <v>2.2147186777917254</v>
      </c>
      <c r="L4" s="259"/>
      <c r="M4" s="16" t="s">
        <v>66</v>
      </c>
      <c r="N4" s="7">
        <v>9.4133999999999993</v>
      </c>
      <c r="O4" s="17">
        <v>9.5397999999999996</v>
      </c>
    </row>
    <row r="5" spans="2:16" ht="15" thickBot="1" x14ac:dyDescent="0.35">
      <c r="B5" s="286"/>
      <c r="C5" s="36" t="s">
        <v>62</v>
      </c>
      <c r="D5" s="21">
        <v>0.49230000000000002</v>
      </c>
      <c r="E5" s="21">
        <f t="shared" ref="E5:E12" si="0">D5*$P$8</f>
        <v>0.10376927836292628</v>
      </c>
      <c r="F5" s="26">
        <v>20</v>
      </c>
      <c r="G5" s="26">
        <v>7.0572738647460938</v>
      </c>
      <c r="H5" s="37">
        <f>(G5*F5*10^(-3))/E5</f>
        <v>1.3601855917439725</v>
      </c>
      <c r="I5" s="225">
        <f>H5/$I$13*100</f>
        <v>13.809610083429144</v>
      </c>
      <c r="J5" s="267"/>
      <c r="K5" s="267"/>
      <c r="L5" s="267"/>
      <c r="M5" s="16" t="s">
        <v>67</v>
      </c>
      <c r="N5" s="7">
        <v>9.8145000000000007</v>
      </c>
      <c r="O5" s="17">
        <v>9.7734000000000005</v>
      </c>
    </row>
    <row r="6" spans="2:16" ht="15" thickBot="1" x14ac:dyDescent="0.35">
      <c r="B6" s="287"/>
      <c r="C6" s="30" t="s">
        <v>107</v>
      </c>
      <c r="D6" s="22">
        <v>0.5212</v>
      </c>
      <c r="E6" s="22">
        <f t="shared" si="0"/>
        <v>0.10986095446426401</v>
      </c>
      <c r="F6" s="31">
        <v>20</v>
      </c>
      <c r="G6" s="31">
        <v>7.4482154846191406</v>
      </c>
      <c r="H6" s="38">
        <f>(G6*F6*10^(-3))/E6</f>
        <v>1.3559349672393251</v>
      </c>
      <c r="I6" s="225">
        <f>H6/$I$13*100</f>
        <v>13.766454599812391</v>
      </c>
      <c r="J6" s="260"/>
      <c r="K6" s="267"/>
      <c r="L6" s="260"/>
      <c r="M6" s="16" t="s">
        <v>68</v>
      </c>
      <c r="N6" s="7">
        <v>9.4986999999999995</v>
      </c>
      <c r="O6" s="17">
        <v>9.5885999999999996</v>
      </c>
    </row>
    <row r="7" spans="2:16" ht="15" thickBot="1" x14ac:dyDescent="0.35">
      <c r="B7" s="288" t="s">
        <v>83</v>
      </c>
      <c r="C7" s="29" t="s">
        <v>61</v>
      </c>
      <c r="D7" s="20">
        <v>0.49559999999999998</v>
      </c>
      <c r="E7" s="20">
        <f t="shared" si="0"/>
        <v>0.10446486767553578</v>
      </c>
      <c r="F7" s="11">
        <v>20</v>
      </c>
      <c r="G7" s="11">
        <v>41.144515991210938</v>
      </c>
      <c r="H7" s="33">
        <f t="shared" ref="H7:H14" si="1">(G7*F7*10^(-3))/E7</f>
        <v>7.8771967852396774</v>
      </c>
      <c r="I7" s="226">
        <f>H7/$I$13*100</f>
        <v>79.975127522948597</v>
      </c>
      <c r="J7" s="259">
        <f>AVERAGE(I7:I9)</f>
        <v>76.258257998853622</v>
      </c>
      <c r="K7" s="259">
        <f>_xlfn.STDEV.S(I7:I9)</f>
        <v>4.8016998695063116</v>
      </c>
      <c r="L7" s="259"/>
      <c r="M7" s="16" t="s">
        <v>69</v>
      </c>
      <c r="N7" s="7">
        <f>N6-N4</f>
        <v>8.5300000000000153E-2</v>
      </c>
      <c r="O7" s="7">
        <f>O6-O4</f>
        <v>4.8799999999999955E-2</v>
      </c>
    </row>
    <row r="8" spans="2:16" ht="15" thickBot="1" x14ac:dyDescent="0.35">
      <c r="B8" s="289"/>
      <c r="C8" s="36" t="s">
        <v>62</v>
      </c>
      <c r="D8" s="21">
        <v>0.47389999999999999</v>
      </c>
      <c r="E8" s="21">
        <f t="shared" si="0"/>
        <v>9.9890840983527851E-2</v>
      </c>
      <c r="F8" s="26">
        <v>20</v>
      </c>
      <c r="G8" s="26">
        <v>38.353057861328125</v>
      </c>
      <c r="H8" s="39">
        <f t="shared" si="1"/>
        <v>7.6789938864670493</v>
      </c>
      <c r="I8" s="226">
        <f t="shared" ref="I8:I9" si="2">H8/$I$13*100</f>
        <v>77.962825109168449</v>
      </c>
      <c r="J8" s="267"/>
      <c r="K8" s="267"/>
      <c r="L8" s="267"/>
      <c r="M8" s="18" t="s">
        <v>70</v>
      </c>
      <c r="N8" s="19">
        <f>N7/(N5-N4)</f>
        <v>0.21266517078035369</v>
      </c>
      <c r="O8" s="19">
        <f>O7/(O5-O4)</f>
        <v>0.20890410958904007</v>
      </c>
      <c r="P8" s="23">
        <f>AVERAGE(N8:O8)</f>
        <v>0.21078464018469689</v>
      </c>
    </row>
    <row r="9" spans="2:16" ht="15" thickBot="1" x14ac:dyDescent="0.35">
      <c r="B9" s="290"/>
      <c r="C9" s="30" t="s">
        <v>107</v>
      </c>
      <c r="D9" s="22">
        <v>0.89100000000000001</v>
      </c>
      <c r="E9" s="22">
        <f t="shared" si="0"/>
        <v>0.18780911440456494</v>
      </c>
      <c r="F9" s="31">
        <v>20</v>
      </c>
      <c r="G9" s="31">
        <v>65.518280029296875</v>
      </c>
      <c r="H9" s="40">
        <f t="shared" si="1"/>
        <v>6.9771139954541379</v>
      </c>
      <c r="I9" s="226">
        <f t="shared" si="2"/>
        <v>70.836821364443807</v>
      </c>
      <c r="J9" s="260"/>
      <c r="K9" s="267"/>
      <c r="L9" s="260"/>
    </row>
    <row r="10" spans="2:16" ht="15" thickBot="1" x14ac:dyDescent="0.35">
      <c r="B10" s="291" t="s">
        <v>84</v>
      </c>
      <c r="C10" s="29" t="s">
        <v>61</v>
      </c>
      <c r="D10" s="20">
        <v>0.62180000000000002</v>
      </c>
      <c r="E10" s="20">
        <f t="shared" si="0"/>
        <v>0.13106588926684454</v>
      </c>
      <c r="F10" s="11">
        <v>20</v>
      </c>
      <c r="G10" s="11">
        <v>43.613496780395508</v>
      </c>
      <c r="H10" s="35">
        <f t="shared" si="1"/>
        <v>6.6552017499534601</v>
      </c>
      <c r="I10" s="227">
        <f>H10/$I$13*100</f>
        <v>67.568530170632769</v>
      </c>
      <c r="J10" s="259">
        <f>AVERAGE(I10:I12)</f>
        <v>66.432058487063117</v>
      </c>
      <c r="K10" s="259">
        <f>_xlfn.STDEV.S(I10:I12)</f>
        <v>1.245990973097131</v>
      </c>
      <c r="L10" s="259"/>
    </row>
    <row r="11" spans="2:16" ht="15" thickBot="1" x14ac:dyDescent="0.35">
      <c r="B11" s="292"/>
      <c r="C11" s="36" t="s">
        <v>62</v>
      </c>
      <c r="D11" s="21">
        <v>0.84819999999999995</v>
      </c>
      <c r="E11" s="21">
        <f t="shared" si="0"/>
        <v>0.17878753180465989</v>
      </c>
      <c r="F11" s="26">
        <v>20</v>
      </c>
      <c r="G11" s="26">
        <v>58.665142059326172</v>
      </c>
      <c r="H11" s="41">
        <f t="shared" si="1"/>
        <v>6.5625540514114453</v>
      </c>
      <c r="I11" s="227">
        <f t="shared" ref="I11:I12" si="3">H11/$I$13*100</f>
        <v>66.627902215331545</v>
      </c>
      <c r="J11" s="267"/>
      <c r="K11" s="267"/>
      <c r="L11" s="267"/>
      <c r="M11" s="284"/>
    </row>
    <row r="12" spans="2:16" ht="15" thickBot="1" x14ac:dyDescent="0.35">
      <c r="B12" s="293"/>
      <c r="C12" s="30" t="s">
        <v>107</v>
      </c>
      <c r="D12" s="22">
        <v>0.67179999999999995</v>
      </c>
      <c r="E12" s="22">
        <f t="shared" si="0"/>
        <v>0.14160512127607935</v>
      </c>
      <c r="F12" s="31">
        <v>20</v>
      </c>
      <c r="G12" s="31">
        <v>45.39886474609375</v>
      </c>
      <c r="H12" s="42">
        <f t="shared" si="1"/>
        <v>6.4120371264796558</v>
      </c>
      <c r="I12" s="227">
        <f t="shared" si="3"/>
        <v>65.099743075225007</v>
      </c>
      <c r="J12" s="260"/>
      <c r="K12" s="267"/>
      <c r="L12" s="260"/>
      <c r="M12" s="284"/>
    </row>
    <row r="13" spans="2:16" ht="14.4" customHeight="1" x14ac:dyDescent="0.3">
      <c r="B13" s="294" t="s">
        <v>85</v>
      </c>
      <c r="C13" s="29" t="s">
        <v>61</v>
      </c>
      <c r="D13" s="1" t="s">
        <v>86</v>
      </c>
      <c r="E13" s="1">
        <v>7.8299999999999995E-2</v>
      </c>
      <c r="F13" s="20">
        <v>30.015000000000001</v>
      </c>
      <c r="G13" s="11">
        <v>25.203817367553711</v>
      </c>
      <c r="H13" s="34">
        <f t="shared" si="1"/>
        <v>9.6614633242289241</v>
      </c>
      <c r="I13" s="257">
        <f>AVERAGE(H13:H14)</f>
        <v>9.8495582679494227</v>
      </c>
      <c r="J13" s="259">
        <f>I13/I13*100</f>
        <v>100</v>
      </c>
      <c r="K13" s="307"/>
      <c r="L13" s="259"/>
      <c r="M13" s="107" t="s">
        <v>72</v>
      </c>
      <c r="N13" s="107" t="s">
        <v>108</v>
      </c>
      <c r="O13" s="107" t="s">
        <v>109</v>
      </c>
      <c r="P13" s="107" t="s">
        <v>110</v>
      </c>
    </row>
    <row r="14" spans="2:16" ht="14.4" customHeight="1" thickBot="1" x14ac:dyDescent="0.35">
      <c r="B14" s="295"/>
      <c r="C14" s="30" t="s">
        <v>62</v>
      </c>
      <c r="D14" s="3" t="s">
        <v>86</v>
      </c>
      <c r="E14" s="22">
        <v>0.05</v>
      </c>
      <c r="F14" s="3">
        <v>30.406400000000001</v>
      </c>
      <c r="G14" s="31">
        <v>16.505823135375977</v>
      </c>
      <c r="H14" s="43">
        <f t="shared" si="1"/>
        <v>10.037653211669921</v>
      </c>
      <c r="I14" s="258"/>
      <c r="J14" s="260"/>
      <c r="K14" s="307"/>
      <c r="L14" s="260"/>
      <c r="M14" s="107" t="s">
        <v>111</v>
      </c>
      <c r="N14" s="108">
        <v>0.98024863775132165</v>
      </c>
      <c r="O14" s="108">
        <v>1.3601855917439725</v>
      </c>
      <c r="P14" s="108">
        <v>1.3559349672393251</v>
      </c>
    </row>
    <row r="15" spans="2:16" ht="15" customHeight="1" x14ac:dyDescent="0.3">
      <c r="J15" s="44"/>
      <c r="M15" s="107" t="s">
        <v>83</v>
      </c>
      <c r="N15" s="108">
        <v>7.8771967852396774</v>
      </c>
      <c r="O15" s="108">
        <v>7.6789938864670493</v>
      </c>
      <c r="P15" s="108">
        <v>6.9771139954541379</v>
      </c>
    </row>
    <row r="16" spans="2:16" ht="15" customHeight="1" thickBot="1" x14ac:dyDescent="0.35">
      <c r="J16" s="44"/>
      <c r="M16" s="107" t="s">
        <v>84</v>
      </c>
      <c r="N16" s="108">
        <v>6.6552017499534601</v>
      </c>
      <c r="O16" s="108">
        <v>6.5625540514114453</v>
      </c>
      <c r="P16" s="108">
        <v>6.4120371264796558</v>
      </c>
    </row>
    <row r="17" spans="2:14" ht="16.2" thickBot="1" x14ac:dyDescent="0.35">
      <c r="B17" s="4" t="s">
        <v>46</v>
      </c>
      <c r="J17" s="44"/>
    </row>
    <row r="18" spans="2:14" ht="15" thickBot="1" x14ac:dyDescent="0.35">
      <c r="B18" s="202" t="s">
        <v>72</v>
      </c>
      <c r="C18" s="47" t="s">
        <v>73</v>
      </c>
      <c r="D18" s="47" t="s">
        <v>74</v>
      </c>
      <c r="E18" s="47" t="s">
        <v>75</v>
      </c>
      <c r="F18" s="47" t="s">
        <v>76</v>
      </c>
      <c r="G18" s="47" t="s">
        <v>87</v>
      </c>
      <c r="H18" s="47" t="s">
        <v>88</v>
      </c>
      <c r="I18" s="47" t="s">
        <v>112</v>
      </c>
      <c r="J18" s="158" t="s">
        <v>105</v>
      </c>
      <c r="K18" s="158" t="s">
        <v>106</v>
      </c>
      <c r="L18" s="45"/>
      <c r="M18" s="107" t="s">
        <v>111</v>
      </c>
      <c r="N18" s="108">
        <v>0.98024863775132165</v>
      </c>
    </row>
    <row r="19" spans="2:14" ht="15" customHeight="1" thickBot="1" x14ac:dyDescent="0.35">
      <c r="B19" s="285" t="s">
        <v>82</v>
      </c>
      <c r="C19" s="29" t="s">
        <v>61</v>
      </c>
      <c r="D19" s="20">
        <f>D4</f>
        <v>0.74919999999999998</v>
      </c>
      <c r="E19" s="20">
        <f>D19*$P$8</f>
        <v>0.15791985242637491</v>
      </c>
      <c r="F19" s="11">
        <v>20</v>
      </c>
      <c r="G19" s="11">
        <v>28.236532211303711</v>
      </c>
      <c r="H19" s="32">
        <f>(G19*F19*10^(-3))/E19</f>
        <v>3.5760585863602037</v>
      </c>
      <c r="I19" s="225">
        <f>H19/$I$28*100</f>
        <v>34.449826633633478</v>
      </c>
      <c r="J19" s="259">
        <f>AVERAGE(I19:I21)</f>
        <v>39.254703383625525</v>
      </c>
      <c r="K19" s="259">
        <f>_xlfn.STDEV.S(I19:I21)</f>
        <v>4.1645574987922496</v>
      </c>
      <c r="M19" s="107" t="s">
        <v>111</v>
      </c>
      <c r="N19" s="108">
        <v>1.3601855917439725</v>
      </c>
    </row>
    <row r="20" spans="2:14" ht="15" customHeight="1" thickBot="1" x14ac:dyDescent="0.35">
      <c r="B20" s="286"/>
      <c r="C20" s="36" t="s">
        <v>62</v>
      </c>
      <c r="D20" s="21">
        <f t="shared" ref="D20:D27" si="4">D5</f>
        <v>0.49230000000000002</v>
      </c>
      <c r="E20" s="21">
        <f t="shared" ref="E20:E27" si="5">D20*$P$8</f>
        <v>0.10376927836292628</v>
      </c>
      <c r="F20" s="26">
        <v>20</v>
      </c>
      <c r="G20" s="26">
        <v>22.526800155639648</v>
      </c>
      <c r="H20" s="37">
        <f t="shared" ref="H20:H29" si="6">(G20*F20*10^(-3))/E20</f>
        <v>4.3417089356357739</v>
      </c>
      <c r="I20" s="225">
        <f t="shared" ref="I20:I21" si="7">H20/$I$28*100</f>
        <v>41.825690635171263</v>
      </c>
      <c r="J20" s="267"/>
      <c r="K20" s="267"/>
      <c r="M20" s="107" t="s">
        <v>111</v>
      </c>
      <c r="N20" s="108">
        <v>1.3559349672393251</v>
      </c>
    </row>
    <row r="21" spans="2:14" ht="15" customHeight="1" thickBot="1" x14ac:dyDescent="0.35">
      <c r="B21" s="287"/>
      <c r="C21" s="30" t="s">
        <v>107</v>
      </c>
      <c r="D21" s="22">
        <f t="shared" si="4"/>
        <v>0.5212</v>
      </c>
      <c r="E21" s="22">
        <f t="shared" si="5"/>
        <v>0.10986095446426401</v>
      </c>
      <c r="F21" s="31">
        <v>20</v>
      </c>
      <c r="G21" s="31">
        <v>23.656999588012695</v>
      </c>
      <c r="H21" s="38">
        <f t="shared" si="6"/>
        <v>4.306716558831269</v>
      </c>
      <c r="I21" s="225">
        <f t="shared" si="7"/>
        <v>41.488592882071828</v>
      </c>
      <c r="J21" s="260"/>
      <c r="K21" s="267"/>
      <c r="M21" s="107" t="s">
        <v>83</v>
      </c>
      <c r="N21" s="108">
        <v>7.8771967852396774</v>
      </c>
    </row>
    <row r="22" spans="2:14" ht="15" customHeight="1" thickBot="1" x14ac:dyDescent="0.35">
      <c r="B22" s="288" t="s">
        <v>83</v>
      </c>
      <c r="C22" s="29" t="s">
        <v>61</v>
      </c>
      <c r="D22" s="20">
        <f t="shared" si="4"/>
        <v>0.49559999999999998</v>
      </c>
      <c r="E22" s="20">
        <f t="shared" si="5"/>
        <v>0.10446486767553578</v>
      </c>
      <c r="F22" s="11">
        <v>20</v>
      </c>
      <c r="G22" s="11">
        <v>54.814254760742188</v>
      </c>
      <c r="H22" s="33">
        <f t="shared" si="6"/>
        <v>10.494294585428154</v>
      </c>
      <c r="I22" s="226">
        <f t="shared" ref="I22:I27" si="8">H22/$I$28*100</f>
        <v>101.09639436255678</v>
      </c>
      <c r="J22" s="259">
        <f>AVERAGE(I22:I24)</f>
        <v>96.767980467537498</v>
      </c>
      <c r="K22" s="259">
        <f>_xlfn.STDEV.S(I22:I24)</f>
        <v>5.2889741584896575</v>
      </c>
      <c r="M22" s="107" t="s">
        <v>83</v>
      </c>
      <c r="N22" s="108">
        <v>7.6789938864670493</v>
      </c>
    </row>
    <row r="23" spans="2:14" ht="15" customHeight="1" thickBot="1" x14ac:dyDescent="0.35">
      <c r="B23" s="289"/>
      <c r="C23" s="36" t="s">
        <v>62</v>
      </c>
      <c r="D23" s="21">
        <f t="shared" si="4"/>
        <v>0.47389999999999999</v>
      </c>
      <c r="E23" s="21">
        <f t="shared" si="5"/>
        <v>9.9890840983527851E-2</v>
      </c>
      <c r="F23" s="26">
        <v>20</v>
      </c>
      <c r="G23" s="26">
        <v>50.982517242431641</v>
      </c>
      <c r="H23" s="39">
        <f t="shared" si="6"/>
        <v>10.207646014480694</v>
      </c>
      <c r="I23" s="226">
        <f t="shared" si="8"/>
        <v>98.334976076071214</v>
      </c>
      <c r="J23" s="267"/>
      <c r="K23" s="267"/>
      <c r="M23" s="107" t="s">
        <v>83</v>
      </c>
      <c r="N23" s="108">
        <v>6.9771139954541379</v>
      </c>
    </row>
    <row r="24" spans="2:14" ht="15" customHeight="1" thickBot="1" x14ac:dyDescent="0.35">
      <c r="B24" s="290"/>
      <c r="C24" s="50" t="s">
        <v>107</v>
      </c>
      <c r="D24" s="25">
        <f t="shared" si="4"/>
        <v>0.89100000000000001</v>
      </c>
      <c r="E24" s="25">
        <f t="shared" si="5"/>
        <v>0.18780911440456494</v>
      </c>
      <c r="F24" s="27">
        <v>20</v>
      </c>
      <c r="G24" s="27">
        <v>88.580284118652344</v>
      </c>
      <c r="H24" s="51">
        <f t="shared" si="6"/>
        <v>9.4330122794614795</v>
      </c>
      <c r="I24" s="226">
        <f t="shared" si="8"/>
        <v>90.872570963984515</v>
      </c>
      <c r="J24" s="260"/>
      <c r="K24" s="267"/>
      <c r="M24" s="107" t="s">
        <v>84</v>
      </c>
      <c r="N24" s="108">
        <v>6.6552017499534601</v>
      </c>
    </row>
    <row r="25" spans="2:14" ht="15" customHeight="1" thickBot="1" x14ac:dyDescent="0.35">
      <c r="B25" s="291" t="s">
        <v>84</v>
      </c>
      <c r="C25" s="29" t="s">
        <v>61</v>
      </c>
      <c r="D25" s="20">
        <f t="shared" si="4"/>
        <v>0.62180000000000002</v>
      </c>
      <c r="E25" s="20">
        <f t="shared" si="5"/>
        <v>0.13106588926684454</v>
      </c>
      <c r="F25" s="11">
        <v>20</v>
      </c>
      <c r="G25" s="11">
        <v>53.350751876831055</v>
      </c>
      <c r="H25" s="35">
        <f t="shared" si="6"/>
        <v>8.141058237999852</v>
      </c>
      <c r="I25" s="227">
        <f t="shared" si="8"/>
        <v>78.426580029513815</v>
      </c>
      <c r="J25" s="259">
        <f>AVERAGE(I25:I27)</f>
        <v>77.41750689682577</v>
      </c>
      <c r="K25" s="259">
        <f>_xlfn.STDEV.S(I25:I27)</f>
        <v>1.6932713005062827</v>
      </c>
      <c r="M25" s="107" t="s">
        <v>84</v>
      </c>
      <c r="N25" s="108">
        <v>6.5625540514114453</v>
      </c>
    </row>
    <row r="26" spans="2:14" ht="15" customHeight="1" thickBot="1" x14ac:dyDescent="0.35">
      <c r="B26" s="292"/>
      <c r="C26" s="36" t="s">
        <v>62</v>
      </c>
      <c r="D26" s="21">
        <f t="shared" si="4"/>
        <v>0.84819999999999995</v>
      </c>
      <c r="E26" s="21">
        <f t="shared" si="5"/>
        <v>0.17878753180465989</v>
      </c>
      <c r="F26" s="26">
        <v>20</v>
      </c>
      <c r="G26" s="26">
        <v>72.717277526855469</v>
      </c>
      <c r="H26" s="41">
        <f t="shared" si="6"/>
        <v>8.1344909002161394</v>
      </c>
      <c r="I26" s="227">
        <f t="shared" si="8"/>
        <v>78.363313826617599</v>
      </c>
      <c r="J26" s="267"/>
      <c r="K26" s="267"/>
      <c r="M26" s="107" t="s">
        <v>84</v>
      </c>
      <c r="N26" s="108">
        <v>6.4120371264796558</v>
      </c>
    </row>
    <row r="27" spans="2:14" ht="15" customHeight="1" thickBot="1" x14ac:dyDescent="0.35">
      <c r="B27" s="293"/>
      <c r="C27" s="30" t="s">
        <v>107</v>
      </c>
      <c r="D27" s="22">
        <f t="shared" si="4"/>
        <v>0.67179999999999995</v>
      </c>
      <c r="E27" s="22">
        <f t="shared" si="5"/>
        <v>0.14160512127607935</v>
      </c>
      <c r="F27" s="31">
        <v>20</v>
      </c>
      <c r="G27" s="31">
        <v>55.462375640869141</v>
      </c>
      <c r="H27" s="42">
        <f t="shared" si="6"/>
        <v>7.8333855641756545</v>
      </c>
      <c r="I27" s="227">
        <f t="shared" si="8"/>
        <v>75.462626834345883</v>
      </c>
      <c r="J27" s="260"/>
      <c r="K27" s="267"/>
    </row>
    <row r="28" spans="2:14" ht="14.4" customHeight="1" x14ac:dyDescent="0.3">
      <c r="B28" s="294" t="s">
        <v>85</v>
      </c>
      <c r="C28" s="29" t="s">
        <v>61</v>
      </c>
      <c r="D28" s="1" t="s">
        <v>86</v>
      </c>
      <c r="E28" s="1">
        <f>E13</f>
        <v>7.8299999999999995E-2</v>
      </c>
      <c r="F28" s="24">
        <f>F13</f>
        <v>30.015000000000001</v>
      </c>
      <c r="G28" s="52">
        <v>26.594161987304688</v>
      </c>
      <c r="H28" s="48">
        <f t="shared" si="6"/>
        <v>10.194428761800131</v>
      </c>
      <c r="I28" s="257">
        <f>AVERAGE(H28:H29)</f>
        <v>10.380483548990885</v>
      </c>
      <c r="J28" s="259">
        <f>_xlfn.STDEV.S(H28:H29)/AVERAGE(H28:H29)*100</f>
        <v>2.5347682711291819</v>
      </c>
      <c r="K28" s="259">
        <f>I28/I28*100</f>
        <v>100</v>
      </c>
    </row>
    <row r="29" spans="2:14" ht="14.4" customHeight="1" thickBot="1" x14ac:dyDescent="0.35">
      <c r="B29" s="295"/>
      <c r="C29" s="30" t="s">
        <v>62</v>
      </c>
      <c r="D29" s="3" t="s">
        <v>86</v>
      </c>
      <c r="E29" s="22">
        <f>E14</f>
        <v>0.05</v>
      </c>
      <c r="F29" s="12">
        <f>F14</f>
        <v>30.406400000000001</v>
      </c>
      <c r="G29" s="53">
        <v>17.375516891479492</v>
      </c>
      <c r="H29" s="49">
        <f t="shared" si="6"/>
        <v>10.56653833618164</v>
      </c>
      <c r="I29" s="258"/>
      <c r="J29" s="260"/>
      <c r="K29" s="260"/>
    </row>
    <row r="30" spans="2:14" ht="15" customHeight="1" x14ac:dyDescent="0.3"/>
    <row r="31" spans="2:14" ht="15" thickBot="1" x14ac:dyDescent="0.35"/>
    <row r="32" spans="2:14" ht="27" customHeight="1" thickBot="1" x14ac:dyDescent="0.35">
      <c r="B32" s="158" t="s">
        <v>72</v>
      </c>
      <c r="C32" s="124" t="s">
        <v>113</v>
      </c>
      <c r="D32" s="158"/>
    </row>
    <row r="33" spans="2:5" x14ac:dyDescent="0.3">
      <c r="B33" s="285" t="s">
        <v>82</v>
      </c>
      <c r="C33" s="301">
        <f>AVERAGE(I4:I6)</f>
        <v>12.509424606254163</v>
      </c>
      <c r="D33" s="298">
        <f>100-C33</f>
        <v>87.490575393745843</v>
      </c>
      <c r="E33" s="283">
        <f>_xlfn.STDEV.S(H4:H6)</f>
        <v>0.2181400066402559</v>
      </c>
    </row>
    <row r="34" spans="2:5" x14ac:dyDescent="0.3">
      <c r="B34" s="286"/>
      <c r="C34" s="303"/>
      <c r="D34" s="299"/>
      <c r="E34" s="283"/>
    </row>
    <row r="35" spans="2:5" ht="15" thickBot="1" x14ac:dyDescent="0.35">
      <c r="B35" s="287"/>
      <c r="C35" s="302"/>
      <c r="D35" s="300"/>
      <c r="E35" s="283"/>
    </row>
    <row r="36" spans="2:5" x14ac:dyDescent="0.3">
      <c r="B36" s="288" t="s">
        <v>83</v>
      </c>
      <c r="C36" s="301">
        <f t="shared" ref="C36" si="9">AVERAGE(I7:I9)</f>
        <v>76.258257998853622</v>
      </c>
      <c r="D36" s="298">
        <f t="shared" ref="D36" si="10">100-C36</f>
        <v>23.741742001146378</v>
      </c>
      <c r="E36" s="283">
        <f>_xlfn.STDEV.S(H7:H9)</f>
        <v>0.47294622649907547</v>
      </c>
    </row>
    <row r="37" spans="2:5" x14ac:dyDescent="0.3">
      <c r="B37" s="289"/>
      <c r="C37" s="303"/>
      <c r="D37" s="299"/>
      <c r="E37" s="283"/>
    </row>
    <row r="38" spans="2:5" ht="15" thickBot="1" x14ac:dyDescent="0.35">
      <c r="B38" s="290"/>
      <c r="C38" s="302"/>
      <c r="D38" s="300"/>
      <c r="E38" s="283"/>
    </row>
    <row r="39" spans="2:5" x14ac:dyDescent="0.3">
      <c r="B39" s="291" t="s">
        <v>84</v>
      </c>
      <c r="C39" s="301">
        <f>AVERAGE(I10:I12)</f>
        <v>66.432058487063117</v>
      </c>
      <c r="D39" s="298">
        <f>100-C39</f>
        <v>33.567941512936883</v>
      </c>
      <c r="E39" s="283">
        <f>_xlfn.STDEV.S(H10:H12)</f>
        <v>0.12272460690859231</v>
      </c>
    </row>
    <row r="40" spans="2:5" x14ac:dyDescent="0.3">
      <c r="B40" s="292"/>
      <c r="C40" s="303"/>
      <c r="D40" s="299"/>
      <c r="E40" s="283"/>
    </row>
    <row r="41" spans="2:5" ht="15" thickBot="1" x14ac:dyDescent="0.35">
      <c r="B41" s="292"/>
      <c r="C41" s="302"/>
      <c r="D41" s="300"/>
      <c r="E41" s="283"/>
    </row>
    <row r="42" spans="2:5" x14ac:dyDescent="0.3">
      <c r="B42" s="296" t="s">
        <v>85</v>
      </c>
      <c r="C42" s="301">
        <v>100</v>
      </c>
      <c r="D42" s="304">
        <v>100</v>
      </c>
    </row>
    <row r="43" spans="2:5" ht="15" thickBot="1" x14ac:dyDescent="0.35">
      <c r="B43" s="297"/>
      <c r="C43" s="302"/>
      <c r="D43" s="305"/>
    </row>
    <row r="45" spans="2:5" ht="15" thickBot="1" x14ac:dyDescent="0.35"/>
    <row r="46" spans="2:5" ht="15" thickBot="1" x14ac:dyDescent="0.35">
      <c r="B46" s="158" t="s">
        <v>72</v>
      </c>
      <c r="C46" s="47" t="s">
        <v>114</v>
      </c>
      <c r="D46" s="158"/>
    </row>
    <row r="47" spans="2:5" x14ac:dyDescent="0.3">
      <c r="B47" s="285" t="s">
        <v>82</v>
      </c>
      <c r="C47" s="301">
        <f>J19</f>
        <v>39.254703383625525</v>
      </c>
      <c r="D47" s="298">
        <f>100-C47</f>
        <v>60.745296616374475</v>
      </c>
    </row>
    <row r="48" spans="2:5" ht="15" thickBot="1" x14ac:dyDescent="0.35">
      <c r="B48" s="286"/>
      <c r="C48" s="303"/>
      <c r="D48" s="299"/>
    </row>
    <row r="49" spans="2:9" ht="15" thickBot="1" x14ac:dyDescent="0.35">
      <c r="B49" s="287"/>
      <c r="C49" s="302"/>
      <c r="D49" s="300"/>
      <c r="F49" s="285" t="s">
        <v>82</v>
      </c>
      <c r="G49" s="301">
        <v>12.5094246062542</v>
      </c>
      <c r="H49" s="298">
        <f>100-G49</f>
        <v>87.4905753937458</v>
      </c>
      <c r="I49">
        <v>2.2147186777917254</v>
      </c>
    </row>
    <row r="50" spans="2:9" x14ac:dyDescent="0.3">
      <c r="B50" s="288" t="s">
        <v>83</v>
      </c>
      <c r="C50" s="301">
        <v>96.767980467537512</v>
      </c>
      <c r="D50" s="298">
        <f>100-C50</f>
        <v>3.2320195324624876</v>
      </c>
      <c r="F50" s="286"/>
      <c r="G50" s="303"/>
      <c r="H50" s="299"/>
    </row>
    <row r="51" spans="2:9" ht="15" thickBot="1" x14ac:dyDescent="0.35">
      <c r="B51" s="289"/>
      <c r="C51" s="303"/>
      <c r="D51" s="299"/>
      <c r="F51" s="287"/>
      <c r="G51" s="302"/>
      <c r="H51" s="300"/>
    </row>
    <row r="52" spans="2:9" ht="15" thickBot="1" x14ac:dyDescent="0.35">
      <c r="B52" s="290"/>
      <c r="C52" s="302"/>
      <c r="D52" s="300"/>
      <c r="F52" s="288" t="s">
        <v>83</v>
      </c>
      <c r="G52" s="301">
        <v>76.258257998853608</v>
      </c>
      <c r="H52" s="298">
        <f t="shared" ref="H52" si="11">100-G52</f>
        <v>23.741742001146392</v>
      </c>
      <c r="I52">
        <v>4.8016998695063116</v>
      </c>
    </row>
    <row r="53" spans="2:9" x14ac:dyDescent="0.3">
      <c r="B53" s="291" t="s">
        <v>84</v>
      </c>
      <c r="C53" s="301">
        <v>77.417506896825756</v>
      </c>
      <c r="D53" s="298">
        <f t="shared" ref="D53" si="12">100-C53</f>
        <v>22.582493103174244</v>
      </c>
      <c r="F53" s="289"/>
      <c r="G53" s="303"/>
      <c r="H53" s="299"/>
    </row>
    <row r="54" spans="2:9" ht="15" thickBot="1" x14ac:dyDescent="0.35">
      <c r="B54" s="292"/>
      <c r="C54" s="303"/>
      <c r="D54" s="299"/>
      <c r="F54" s="290"/>
      <c r="G54" s="302"/>
      <c r="H54" s="300"/>
    </row>
    <row r="55" spans="2:9" ht="15" thickBot="1" x14ac:dyDescent="0.35">
      <c r="B55" s="292"/>
      <c r="C55" s="302"/>
      <c r="D55" s="300"/>
      <c r="F55" s="291" t="s">
        <v>84</v>
      </c>
      <c r="G55" s="301">
        <v>66.432058487063117</v>
      </c>
      <c r="H55" s="298">
        <f>100-G55</f>
        <v>33.567941512936883</v>
      </c>
      <c r="I55">
        <v>1.245990973097131</v>
      </c>
    </row>
    <row r="56" spans="2:9" x14ac:dyDescent="0.3">
      <c r="B56" s="296" t="s">
        <v>85</v>
      </c>
      <c r="C56" s="301">
        <v>100</v>
      </c>
      <c r="D56" s="306">
        <v>100</v>
      </c>
      <c r="F56" s="292"/>
      <c r="G56" s="303"/>
      <c r="H56" s="299"/>
    </row>
    <row r="57" spans="2:9" ht="15" thickBot="1" x14ac:dyDescent="0.35">
      <c r="B57" s="297"/>
      <c r="C57" s="302"/>
      <c r="D57" s="300"/>
      <c r="F57" s="292"/>
      <c r="G57" s="302"/>
      <c r="H57" s="300"/>
    </row>
    <row r="59" spans="2:9" ht="15" thickBot="1" x14ac:dyDescent="0.35"/>
    <row r="60" spans="2:9" x14ac:dyDescent="0.3">
      <c r="F60" s="285" t="s">
        <v>82</v>
      </c>
      <c r="G60" s="301">
        <v>39.254703383625525</v>
      </c>
      <c r="H60" s="298">
        <f>100-G60</f>
        <v>60.745296616374475</v>
      </c>
      <c r="I60">
        <v>4.1645574987922496</v>
      </c>
    </row>
    <row r="61" spans="2:9" x14ac:dyDescent="0.3">
      <c r="F61" s="286"/>
      <c r="G61" s="303"/>
      <c r="H61" s="299"/>
    </row>
    <row r="62" spans="2:9" ht="15" thickBot="1" x14ac:dyDescent="0.35">
      <c r="F62" s="287"/>
      <c r="G62" s="302"/>
      <c r="H62" s="300"/>
    </row>
    <row r="63" spans="2:9" x14ac:dyDescent="0.3">
      <c r="F63" s="288" t="s">
        <v>83</v>
      </c>
      <c r="G63" s="301">
        <v>96.767980467537512</v>
      </c>
      <c r="H63" s="298">
        <f>100-G63</f>
        <v>3.2320195324624876</v>
      </c>
      <c r="I63">
        <v>5.2889741584896575</v>
      </c>
    </row>
    <row r="64" spans="2:9" x14ac:dyDescent="0.3">
      <c r="F64" s="289"/>
      <c r="G64" s="303"/>
      <c r="H64" s="299"/>
    </row>
    <row r="65" spans="6:9" ht="15" thickBot="1" x14ac:dyDescent="0.35">
      <c r="F65" s="290"/>
      <c r="G65" s="302"/>
      <c r="H65" s="300"/>
    </row>
    <row r="66" spans="6:9" x14ac:dyDescent="0.3">
      <c r="F66" s="291" t="s">
        <v>84</v>
      </c>
      <c r="G66" s="301">
        <v>77.417506896825756</v>
      </c>
      <c r="H66" s="298">
        <f t="shared" ref="H66" si="13">100-G66</f>
        <v>22.582493103174244</v>
      </c>
      <c r="I66">
        <v>1.6932713005062827</v>
      </c>
    </row>
    <row r="67" spans="6:9" x14ac:dyDescent="0.3">
      <c r="F67" s="292"/>
      <c r="G67" s="303"/>
      <c r="H67" s="299"/>
    </row>
    <row r="68" spans="6:9" ht="15" thickBot="1" x14ac:dyDescent="0.35">
      <c r="F68" s="292"/>
      <c r="G68" s="302"/>
      <c r="H68" s="300"/>
    </row>
  </sheetData>
  <mergeCells count="76">
    <mergeCell ref="H66:H68"/>
    <mergeCell ref="K4:K6"/>
    <mergeCell ref="K7:K9"/>
    <mergeCell ref="K10:K12"/>
    <mergeCell ref="K13:K14"/>
    <mergeCell ref="H49:H51"/>
    <mergeCell ref="H52:H54"/>
    <mergeCell ref="H55:H57"/>
    <mergeCell ref="H60:H62"/>
    <mergeCell ref="H63:H65"/>
    <mergeCell ref="F60:F62"/>
    <mergeCell ref="G60:G62"/>
    <mergeCell ref="F63:F65"/>
    <mergeCell ref="G63:G65"/>
    <mergeCell ref="F66:F68"/>
    <mergeCell ref="G66:G68"/>
    <mergeCell ref="F49:F51"/>
    <mergeCell ref="G49:G51"/>
    <mergeCell ref="F52:F54"/>
    <mergeCell ref="G52:G54"/>
    <mergeCell ref="F55:F57"/>
    <mergeCell ref="G55:G57"/>
    <mergeCell ref="B53:B55"/>
    <mergeCell ref="B56:B57"/>
    <mergeCell ref="C47:C49"/>
    <mergeCell ref="D56:D57"/>
    <mergeCell ref="D53:D55"/>
    <mergeCell ref="D50:D52"/>
    <mergeCell ref="D47:D49"/>
    <mergeCell ref="C56:C57"/>
    <mergeCell ref="C53:C55"/>
    <mergeCell ref="C50:C52"/>
    <mergeCell ref="B50:B52"/>
    <mergeCell ref="B47:B49"/>
    <mergeCell ref="B33:B35"/>
    <mergeCell ref="B36:B38"/>
    <mergeCell ref="B39:B41"/>
    <mergeCell ref="B42:B43"/>
    <mergeCell ref="D33:D35"/>
    <mergeCell ref="C42:C43"/>
    <mergeCell ref="C39:C41"/>
    <mergeCell ref="C36:C38"/>
    <mergeCell ref="C33:C35"/>
    <mergeCell ref="D42:D43"/>
    <mergeCell ref="D39:D41"/>
    <mergeCell ref="D36:D38"/>
    <mergeCell ref="B28:B29"/>
    <mergeCell ref="B25:B27"/>
    <mergeCell ref="I28:I29"/>
    <mergeCell ref="L13:L14"/>
    <mergeCell ref="L10:L12"/>
    <mergeCell ref="J25:J27"/>
    <mergeCell ref="L7:L9"/>
    <mergeCell ref="L4:L6"/>
    <mergeCell ref="B4:B6"/>
    <mergeCell ref="B19:B21"/>
    <mergeCell ref="B22:B24"/>
    <mergeCell ref="B10:B12"/>
    <mergeCell ref="B7:B9"/>
    <mergeCell ref="B13:B14"/>
    <mergeCell ref="J7:J9"/>
    <mergeCell ref="J4:J6"/>
    <mergeCell ref="J22:J24"/>
    <mergeCell ref="K22:K24"/>
    <mergeCell ref="K19:K21"/>
    <mergeCell ref="J19:J21"/>
    <mergeCell ref="E39:E41"/>
    <mergeCell ref="E36:E38"/>
    <mergeCell ref="E33:E35"/>
    <mergeCell ref="M11:M12"/>
    <mergeCell ref="I13:I14"/>
    <mergeCell ref="J13:J14"/>
    <mergeCell ref="J10:J12"/>
    <mergeCell ref="J28:J29"/>
    <mergeCell ref="K28:K29"/>
    <mergeCell ref="K25:K27"/>
  </mergeCells>
  <phoneticPr fontId="1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5A3C-0602-4319-B9AF-9D7F7A156618}">
  <dimension ref="B1:P68"/>
  <sheetViews>
    <sheetView topLeftCell="A31" zoomScale="83" zoomScaleNormal="98" workbookViewId="0">
      <selection activeCell="G37" sqref="G37"/>
    </sheetView>
  </sheetViews>
  <sheetFormatPr baseColWidth="10" defaultColWidth="11.44140625" defaultRowHeight="14.4" x14ac:dyDescent="0.3"/>
  <cols>
    <col min="4" max="4" width="17.5546875" customWidth="1"/>
    <col min="5" max="5" width="15" customWidth="1"/>
    <col min="6" max="6" width="13.6640625" customWidth="1"/>
    <col min="7" max="7" width="17.6640625" customWidth="1"/>
    <col min="8" max="8" width="12.44140625" customWidth="1"/>
    <col min="9" max="9" width="15.33203125" bestFit="1" customWidth="1"/>
    <col min="13" max="13" width="28.109375" bestFit="1" customWidth="1"/>
  </cols>
  <sheetData>
    <row r="1" spans="2:16" ht="15" thickBot="1" x14ac:dyDescent="0.35"/>
    <row r="2" spans="2:16" ht="16.2" thickBot="1" x14ac:dyDescent="0.35">
      <c r="B2" s="4" t="s">
        <v>36</v>
      </c>
    </row>
    <row r="3" spans="2:16" ht="16.2" thickBot="1" x14ac:dyDescent="0.35">
      <c r="B3" s="202" t="s">
        <v>72</v>
      </c>
      <c r="C3" s="47" t="s">
        <v>73</v>
      </c>
      <c r="D3" s="47" t="s">
        <v>74</v>
      </c>
      <c r="E3" s="47" t="s">
        <v>75</v>
      </c>
      <c r="F3" s="47" t="s">
        <v>76</v>
      </c>
      <c r="G3" s="47" t="s">
        <v>77</v>
      </c>
      <c r="H3" s="47" t="s">
        <v>78</v>
      </c>
      <c r="I3" s="47" t="s">
        <v>104</v>
      </c>
      <c r="J3" s="158" t="s">
        <v>105</v>
      </c>
      <c r="K3" s="158" t="s">
        <v>106</v>
      </c>
      <c r="M3" s="13" t="s">
        <v>63</v>
      </c>
      <c r="N3" s="14">
        <v>1</v>
      </c>
      <c r="O3" s="15">
        <v>2</v>
      </c>
    </row>
    <row r="4" spans="2:16" ht="15" thickBot="1" x14ac:dyDescent="0.35">
      <c r="B4" s="277" t="s">
        <v>82</v>
      </c>
      <c r="C4" s="29">
        <v>1</v>
      </c>
      <c r="D4" s="20">
        <v>0.497</v>
      </c>
      <c r="E4" s="20">
        <f>D4*$P$8</f>
        <v>3.6353330297281876E-2</v>
      </c>
      <c r="F4" s="11">
        <v>20</v>
      </c>
      <c r="G4" s="11">
        <v>1.9904807806015015</v>
      </c>
      <c r="H4" s="32">
        <f>(G4*F4*10^(-3))/E4</f>
        <v>1.0950747919512227</v>
      </c>
      <c r="I4" s="225">
        <f>H4/$I$13*100</f>
        <v>5.8841863046831486</v>
      </c>
      <c r="J4" s="259">
        <f>AVERAGE(I4:I6)</f>
        <v>5.7883035807542464</v>
      </c>
      <c r="K4" s="259">
        <f>_xlfn.STDEV.S(I4:I6)</f>
        <v>0.38589364804708876</v>
      </c>
      <c r="M4" s="16" t="s">
        <v>66</v>
      </c>
      <c r="N4" s="7">
        <v>9.2586999999999993</v>
      </c>
      <c r="O4" s="17">
        <v>9.2830999999999992</v>
      </c>
    </row>
    <row r="5" spans="2:16" ht="15" thickBot="1" x14ac:dyDescent="0.35">
      <c r="B5" s="278"/>
      <c r="C5" s="36">
        <v>2</v>
      </c>
      <c r="D5" s="21">
        <v>0.55020000000000002</v>
      </c>
      <c r="E5" s="21">
        <f t="shared" ref="E5:E12" si="0">D5*$P$8</f>
        <v>4.0244672695300784E-2</v>
      </c>
      <c r="F5" s="26">
        <v>20</v>
      </c>
      <c r="G5" s="26">
        <v>2.2908127307891846</v>
      </c>
      <c r="H5" s="37">
        <f t="shared" ref="H5:H14" si="1">(G5*F5*10^(-3))/E5</f>
        <v>1.1384427191809037</v>
      </c>
      <c r="I5" s="225">
        <f>H5/$I$13*100</f>
        <v>6.1172160167566876</v>
      </c>
      <c r="J5" s="267"/>
      <c r="K5" s="267"/>
      <c r="M5" s="16" t="s">
        <v>67</v>
      </c>
      <c r="N5" s="7">
        <v>10.340999999999999</v>
      </c>
      <c r="O5" s="17">
        <v>10.424799999999999</v>
      </c>
    </row>
    <row r="6" spans="2:16" ht="15" thickBot="1" x14ac:dyDescent="0.35">
      <c r="B6" s="279"/>
      <c r="C6" s="30">
        <v>3</v>
      </c>
      <c r="D6" s="22">
        <v>0.96009999999999995</v>
      </c>
      <c r="E6" s="22">
        <f t="shared" si="0"/>
        <v>7.0227026998833653E-2</v>
      </c>
      <c r="F6" s="31">
        <v>20</v>
      </c>
      <c r="G6" s="31">
        <v>3.5049402713775635</v>
      </c>
      <c r="H6" s="38">
        <f t="shared" si="1"/>
        <v>0.9981741848293747</v>
      </c>
      <c r="I6" s="225">
        <f>H6/$I$13*100</f>
        <v>5.363508420822904</v>
      </c>
      <c r="J6" s="260"/>
      <c r="K6" s="267"/>
      <c r="M6" s="16" t="s">
        <v>68</v>
      </c>
      <c r="N6" s="7">
        <v>9.3355999999999995</v>
      </c>
      <c r="O6" s="17">
        <v>9.3689999999999998</v>
      </c>
    </row>
    <row r="7" spans="2:16" ht="15" thickBot="1" x14ac:dyDescent="0.35">
      <c r="B7" s="261" t="s">
        <v>83</v>
      </c>
      <c r="C7" s="29">
        <v>1</v>
      </c>
      <c r="D7" s="20">
        <v>0.65200000000000002</v>
      </c>
      <c r="E7" s="20">
        <f t="shared" si="0"/>
        <v>4.7690888035870793E-2</v>
      </c>
      <c r="F7" s="11">
        <v>20</v>
      </c>
      <c r="G7" s="11">
        <v>24.588117599487305</v>
      </c>
      <c r="H7" s="33">
        <f t="shared" si="1"/>
        <v>10.311453031024838</v>
      </c>
      <c r="I7" s="226">
        <f>H7/$I$13*100</f>
        <v>55.40672760664048</v>
      </c>
      <c r="J7" s="259">
        <f>AVERAGE(I7:I9)</f>
        <v>55.373790870405038</v>
      </c>
      <c r="K7" s="259">
        <f>_xlfn.STDEV.S(I7:I9)</f>
        <v>2.0860151354611021</v>
      </c>
      <c r="M7" s="16" t="s">
        <v>69</v>
      </c>
      <c r="N7" s="7">
        <f>N6-N4</f>
        <v>7.690000000000019E-2</v>
      </c>
      <c r="O7" s="7">
        <f>O6-O4</f>
        <v>8.5900000000000531E-2</v>
      </c>
    </row>
    <row r="8" spans="2:16" ht="15" thickBot="1" x14ac:dyDescent="0.35">
      <c r="B8" s="262"/>
      <c r="C8" s="36">
        <v>2</v>
      </c>
      <c r="D8" s="21">
        <v>0.61199999999999999</v>
      </c>
      <c r="E8" s="21">
        <f t="shared" si="0"/>
        <v>4.4765066683976874E-2</v>
      </c>
      <c r="F8" s="26">
        <v>20</v>
      </c>
      <c r="G8" s="26">
        <v>23.927911758422852</v>
      </c>
      <c r="H8" s="39">
        <f t="shared" si="1"/>
        <v>10.690439456884608</v>
      </c>
      <c r="I8" s="226">
        <f t="shared" ref="I8:I9" si="2">H8/$I$13*100</f>
        <v>57.44314261052471</v>
      </c>
      <c r="J8" s="267"/>
      <c r="K8" s="267"/>
      <c r="M8" s="18" t="s">
        <v>70</v>
      </c>
      <c r="N8" s="19">
        <f>N7/(N5-N4)</f>
        <v>7.1052388432043048E-2</v>
      </c>
      <c r="O8" s="19">
        <f>O7/(O5-O4)</f>
        <v>7.5238679162652644E-2</v>
      </c>
      <c r="P8" s="23">
        <f>AVERAGE(N8:O8)</f>
        <v>7.3145533797347839E-2</v>
      </c>
    </row>
    <row r="9" spans="2:16" ht="15" thickBot="1" x14ac:dyDescent="0.35">
      <c r="B9" s="263"/>
      <c r="C9" s="30">
        <v>3</v>
      </c>
      <c r="D9" s="22">
        <v>0.75080000000000002</v>
      </c>
      <c r="E9" s="22">
        <f t="shared" si="0"/>
        <v>5.4917666775048758E-2</v>
      </c>
      <c r="F9" s="31">
        <v>20</v>
      </c>
      <c r="G9" s="31">
        <v>27.222900390625</v>
      </c>
      <c r="H9" s="40">
        <f t="shared" si="1"/>
        <v>9.9140775598257669</v>
      </c>
      <c r="I9" s="226">
        <f t="shared" si="2"/>
        <v>53.271502394049939</v>
      </c>
      <c r="J9" s="260"/>
      <c r="K9" s="267"/>
    </row>
    <row r="10" spans="2:16" ht="15" thickBot="1" x14ac:dyDescent="0.35">
      <c r="B10" s="268" t="s">
        <v>84</v>
      </c>
      <c r="C10" s="29">
        <v>1</v>
      </c>
      <c r="D10" s="20">
        <v>0.59819999999999995</v>
      </c>
      <c r="E10" s="20">
        <f t="shared" si="0"/>
        <v>4.3755658317573477E-2</v>
      </c>
      <c r="F10" s="11">
        <v>20</v>
      </c>
      <c r="G10" s="11">
        <v>26.847557067871094</v>
      </c>
      <c r="H10" s="35">
        <f t="shared" si="1"/>
        <v>12.271581825150314</v>
      </c>
      <c r="I10" s="227">
        <f>H10/$I$13*100</f>
        <v>65.939125110976377</v>
      </c>
      <c r="J10" s="259">
        <f>AVERAGE(I10:I12)</f>
        <v>67.222317965315412</v>
      </c>
      <c r="K10" s="259">
        <f>_xlfn.STDEV.S(I10:I12)</f>
        <v>2.6470985206898465</v>
      </c>
    </row>
    <row r="11" spans="2:16" ht="15" thickBot="1" x14ac:dyDescent="0.35">
      <c r="B11" s="269"/>
      <c r="C11" s="36">
        <v>2</v>
      </c>
      <c r="D11" s="21">
        <v>0.45369999999999999</v>
      </c>
      <c r="E11" s="21">
        <f t="shared" si="0"/>
        <v>3.3186128683856717E-2</v>
      </c>
      <c r="F11" s="26">
        <v>20</v>
      </c>
      <c r="G11" s="26">
        <v>21.698614120483398</v>
      </c>
      <c r="H11" s="41">
        <f t="shared" si="1"/>
        <v>13.076917966052857</v>
      </c>
      <c r="I11" s="227">
        <f t="shared" ref="I11:I12" si="3">H11/$I$13*100</f>
        <v>70.266453185547022</v>
      </c>
      <c r="J11" s="267"/>
      <c r="K11" s="267"/>
    </row>
    <row r="12" spans="2:16" ht="15" thickBot="1" x14ac:dyDescent="0.35">
      <c r="B12" s="270"/>
      <c r="C12" s="30">
        <v>3</v>
      </c>
      <c r="D12" s="22">
        <v>0.89800000000000002</v>
      </c>
      <c r="E12" s="22">
        <f t="shared" si="0"/>
        <v>6.5684689350018366E-2</v>
      </c>
      <c r="F12" s="31">
        <v>20</v>
      </c>
      <c r="G12" s="31">
        <v>40.010746002197266</v>
      </c>
      <c r="H12" s="42">
        <f t="shared" si="1"/>
        <v>12.18267039035211</v>
      </c>
      <c r="I12" s="227">
        <f t="shared" si="3"/>
        <v>65.461375599422809</v>
      </c>
      <c r="J12" s="260"/>
      <c r="K12" s="267"/>
      <c r="L12" s="157"/>
    </row>
    <row r="13" spans="2:16" ht="14.4" customHeight="1" x14ac:dyDescent="0.3">
      <c r="B13" s="255" t="s">
        <v>85</v>
      </c>
      <c r="C13" s="29" t="s">
        <v>64</v>
      </c>
      <c r="D13" s="1" t="s">
        <v>86</v>
      </c>
      <c r="E13" s="1">
        <v>8.9800000000000005E-2</v>
      </c>
      <c r="F13" s="1">
        <v>30.072199999999999</v>
      </c>
      <c r="G13" s="11">
        <v>55.018848419189403</v>
      </c>
      <c r="H13" s="34">
        <f t="shared" si="1"/>
        <v>18.424697254248855</v>
      </c>
      <c r="I13" s="257">
        <f>AVERAGE(H13:H14)</f>
        <v>18.610471104214813</v>
      </c>
      <c r="J13" s="259">
        <f>_xlfn.STDEV.S(H13:H14)/AVERAGE(H13:H14)*100</f>
        <v>1.4116993421871098</v>
      </c>
      <c r="K13" s="259">
        <f>I13/I13*100</f>
        <v>100</v>
      </c>
    </row>
    <row r="14" spans="2:16" ht="14.4" customHeight="1" thickBot="1" x14ac:dyDescent="0.35">
      <c r="B14" s="256"/>
      <c r="C14" s="30" t="s">
        <v>65</v>
      </c>
      <c r="D14" s="3" t="s">
        <v>86</v>
      </c>
      <c r="E14" s="3">
        <v>8.2600000000000007E-2</v>
      </c>
      <c r="F14" s="3">
        <v>30.996400000000001</v>
      </c>
      <c r="G14" s="31">
        <v>50.088714599609375</v>
      </c>
      <c r="H14" s="43">
        <f t="shared" si="1"/>
        <v>18.796244954180771</v>
      </c>
      <c r="I14" s="258"/>
      <c r="J14" s="260"/>
      <c r="K14" s="260"/>
    </row>
    <row r="15" spans="2:16" ht="14.4" customHeight="1" x14ac:dyDescent="0.3">
      <c r="B15" s="106"/>
      <c r="C15" s="107"/>
      <c r="D15" s="107"/>
      <c r="E15" s="107"/>
      <c r="F15" s="107"/>
      <c r="G15" s="108"/>
      <c r="H15" s="109"/>
      <c r="I15" s="109"/>
      <c r="J15" s="108"/>
      <c r="K15" s="108"/>
    </row>
    <row r="16" spans="2:16" ht="15" customHeight="1" x14ac:dyDescent="0.3">
      <c r="M16" t="s">
        <v>78</v>
      </c>
      <c r="N16" t="s">
        <v>115</v>
      </c>
    </row>
    <row r="17" spans="2:14" ht="15" thickBot="1" x14ac:dyDescent="0.35">
      <c r="M17">
        <v>1.0950747919512227</v>
      </c>
      <c r="N17">
        <v>3.7855127516995051</v>
      </c>
    </row>
    <row r="18" spans="2:14" ht="16.2" thickBot="1" x14ac:dyDescent="0.35">
      <c r="B18" s="4" t="s">
        <v>46</v>
      </c>
      <c r="M18">
        <v>1.1384427191809037</v>
      </c>
      <c r="N18">
        <v>3.6576613906773061</v>
      </c>
    </row>
    <row r="19" spans="2:14" ht="15" thickBot="1" x14ac:dyDescent="0.35">
      <c r="B19" s="202" t="s">
        <v>72</v>
      </c>
      <c r="C19" s="47" t="s">
        <v>73</v>
      </c>
      <c r="D19" s="47" t="s">
        <v>74</v>
      </c>
      <c r="E19" s="47" t="s">
        <v>75</v>
      </c>
      <c r="F19" s="47" t="s">
        <v>76</v>
      </c>
      <c r="G19" s="47" t="s">
        <v>87</v>
      </c>
      <c r="H19" s="47" t="s">
        <v>88</v>
      </c>
      <c r="I19" s="47" t="s">
        <v>112</v>
      </c>
      <c r="J19" s="158" t="s">
        <v>105</v>
      </c>
      <c r="K19" s="158" t="s">
        <v>106</v>
      </c>
      <c r="M19">
        <v>0.9981741848293747</v>
      </c>
      <c r="N19">
        <v>2.5931938318623793</v>
      </c>
    </row>
    <row r="20" spans="2:14" ht="15" customHeight="1" thickBot="1" x14ac:dyDescent="0.35">
      <c r="B20" s="277" t="s">
        <v>82</v>
      </c>
      <c r="C20" s="29">
        <v>1</v>
      </c>
      <c r="D20" s="20">
        <f t="shared" ref="D20:D28" si="4">D4</f>
        <v>0.497</v>
      </c>
      <c r="E20" s="20">
        <f>D20*$P$8</f>
        <v>3.6353330297281876E-2</v>
      </c>
      <c r="F20" s="11">
        <f t="shared" ref="F20:F30" si="5">F4</f>
        <v>20</v>
      </c>
      <c r="G20" s="11">
        <v>6.8807997703552246</v>
      </c>
      <c r="H20" s="32">
        <f>(G20*F20*10^(-3))/E20</f>
        <v>3.7855127516995051</v>
      </c>
      <c r="I20" s="225">
        <f>H20/$I$29*100</f>
        <v>16.201539820391979</v>
      </c>
      <c r="J20" s="259">
        <f>AVERAGE(I20:I22)</f>
        <v>14.318149750760689</v>
      </c>
      <c r="K20" s="259">
        <f>_xlfn.STDEV.S(I20:I22)</f>
        <v>2.8016391112978125</v>
      </c>
      <c r="M20">
        <v>10.311453031024838</v>
      </c>
      <c r="N20">
        <v>24.700886283820029</v>
      </c>
    </row>
    <row r="21" spans="2:14" ht="14.4" customHeight="1" thickBot="1" x14ac:dyDescent="0.35">
      <c r="B21" s="278"/>
      <c r="C21" s="36">
        <v>2</v>
      </c>
      <c r="D21" s="2">
        <f t="shared" si="4"/>
        <v>0.55020000000000002</v>
      </c>
      <c r="E21" s="21">
        <f>D21*$P$8</f>
        <v>4.0244672695300784E-2</v>
      </c>
      <c r="F21" s="26">
        <f t="shared" si="5"/>
        <v>20</v>
      </c>
      <c r="G21" s="26">
        <v>7.3600692749023438</v>
      </c>
      <c r="H21" s="37">
        <f t="shared" ref="H21:H30" si="6">(G21*F21*10^(-3))/E21</f>
        <v>3.6576613906773061</v>
      </c>
      <c r="I21" s="225">
        <f t="shared" ref="I21:I22" si="7">H21/$I$29*100</f>
        <v>15.654351354110229</v>
      </c>
      <c r="J21" s="267"/>
      <c r="K21" s="267"/>
      <c r="M21">
        <v>10.690439456884608</v>
      </c>
      <c r="N21">
        <v>24.811030156046744</v>
      </c>
    </row>
    <row r="22" spans="2:14" ht="15" customHeight="1" thickBot="1" x14ac:dyDescent="0.35">
      <c r="B22" s="279"/>
      <c r="C22" s="30">
        <v>3</v>
      </c>
      <c r="D22" s="3">
        <f t="shared" si="4"/>
        <v>0.96009999999999995</v>
      </c>
      <c r="E22" s="22">
        <f t="shared" ref="E22:E28" si="8">D22*$P$8</f>
        <v>7.0227026998833653E-2</v>
      </c>
      <c r="F22" s="31">
        <f t="shared" si="5"/>
        <v>20</v>
      </c>
      <c r="G22" s="31">
        <v>9.1056146621704102</v>
      </c>
      <c r="H22" s="38">
        <f t="shared" si="6"/>
        <v>2.5931938318623793</v>
      </c>
      <c r="I22" s="225">
        <f t="shared" si="7"/>
        <v>11.09855807777986</v>
      </c>
      <c r="J22" s="260"/>
      <c r="K22" s="267"/>
      <c r="M22">
        <v>9.9140775598257669</v>
      </c>
      <c r="N22">
        <v>24.12895196068764</v>
      </c>
    </row>
    <row r="23" spans="2:14" ht="14.4" customHeight="1" thickBot="1" x14ac:dyDescent="0.35">
      <c r="B23" s="261" t="s">
        <v>83</v>
      </c>
      <c r="C23" s="29">
        <v>1</v>
      </c>
      <c r="D23" s="20">
        <f t="shared" si="4"/>
        <v>0.65200000000000002</v>
      </c>
      <c r="E23" s="20">
        <f t="shared" si="8"/>
        <v>4.7690888035870793E-2</v>
      </c>
      <c r="F23" s="11">
        <f t="shared" si="5"/>
        <v>20</v>
      </c>
      <c r="G23" s="11">
        <v>58.900360107421875</v>
      </c>
      <c r="H23" s="33">
        <f>(G23*F23*10^(-3))/E23</f>
        <v>24.700886283820029</v>
      </c>
      <c r="I23" s="226">
        <f>H23/$I$29*100</f>
        <v>105.71682595617146</v>
      </c>
      <c r="J23" s="259">
        <f>AVERAGE(I23:I25)</f>
        <v>105.05802340463987</v>
      </c>
      <c r="K23" s="259">
        <f>_xlfn.STDEV.S(I23:I25)</f>
        <v>1.5671523069327546</v>
      </c>
      <c r="M23">
        <v>12.271581825150314</v>
      </c>
      <c r="N23">
        <v>18.897630899260207</v>
      </c>
    </row>
    <row r="24" spans="2:14" ht="14.4" customHeight="1" thickBot="1" x14ac:dyDescent="0.35">
      <c r="B24" s="262"/>
      <c r="C24" s="36">
        <v>2</v>
      </c>
      <c r="D24" s="21">
        <f t="shared" si="4"/>
        <v>0.61199999999999999</v>
      </c>
      <c r="E24" s="21">
        <f t="shared" si="8"/>
        <v>4.4765066683976874E-2</v>
      </c>
      <c r="F24" s="26">
        <f t="shared" si="5"/>
        <v>20</v>
      </c>
      <c r="G24" s="26">
        <v>55.533370971679688</v>
      </c>
      <c r="H24" s="39">
        <f t="shared" si="6"/>
        <v>24.811030156046744</v>
      </c>
      <c r="I24" s="226">
        <f t="shared" ref="I24:I25" si="9">H24/$I$29*100</f>
        <v>106.18822849762431</v>
      </c>
      <c r="J24" s="267"/>
      <c r="K24" s="267"/>
      <c r="M24">
        <v>13.076917966052857</v>
      </c>
      <c r="N24">
        <v>19.783649551974921</v>
      </c>
    </row>
    <row r="25" spans="2:14" ht="15" customHeight="1" thickBot="1" x14ac:dyDescent="0.35">
      <c r="B25" s="263"/>
      <c r="C25" s="30">
        <v>3</v>
      </c>
      <c r="D25" s="3">
        <f t="shared" si="4"/>
        <v>0.75080000000000002</v>
      </c>
      <c r="E25" s="22">
        <f t="shared" si="8"/>
        <v>5.4917666775048758E-2</v>
      </c>
      <c r="F25" s="31">
        <f t="shared" si="5"/>
        <v>20</v>
      </c>
      <c r="G25" s="31">
        <v>66.255287170410156</v>
      </c>
      <c r="H25" s="40">
        <f t="shared" si="6"/>
        <v>24.12895196068764</v>
      </c>
      <c r="I25" s="226">
        <f t="shared" si="9"/>
        <v>103.26901576012384</v>
      </c>
      <c r="J25" s="260"/>
      <c r="K25" s="267"/>
      <c r="M25">
        <v>12.18267039035211</v>
      </c>
      <c r="N25">
        <v>18.377867939303144</v>
      </c>
    </row>
    <row r="26" spans="2:14" ht="14.4" customHeight="1" thickBot="1" x14ac:dyDescent="0.35">
      <c r="B26" s="268" t="s">
        <v>84</v>
      </c>
      <c r="C26" s="29">
        <v>1</v>
      </c>
      <c r="D26" s="1">
        <f t="shared" si="4"/>
        <v>0.59819999999999995</v>
      </c>
      <c r="E26" s="20">
        <f t="shared" si="8"/>
        <v>4.3755658317573477E-2</v>
      </c>
      <c r="F26" s="11">
        <f t="shared" si="5"/>
        <v>20</v>
      </c>
      <c r="G26" s="11">
        <v>41.343914031982422</v>
      </c>
      <c r="H26" s="35">
        <f t="shared" si="6"/>
        <v>18.897630899260207</v>
      </c>
      <c r="I26" s="227">
        <f>H26/$I$29*100</f>
        <v>80.879590060284144</v>
      </c>
      <c r="J26" s="259">
        <f>AVERAGE(I26:I28)</f>
        <v>81.402100182415282</v>
      </c>
      <c r="K26" s="259">
        <f>_xlfn.STDEV.S(I26:I28)</f>
        <v>3.0421309289255585</v>
      </c>
    </row>
    <row r="27" spans="2:14" ht="14.4" customHeight="1" thickBot="1" x14ac:dyDescent="0.35">
      <c r="B27" s="269"/>
      <c r="C27" s="36">
        <v>2</v>
      </c>
      <c r="D27" s="2">
        <f t="shared" si="4"/>
        <v>0.45369999999999999</v>
      </c>
      <c r="E27" s="21">
        <f t="shared" si="8"/>
        <v>3.3186128683856717E-2</v>
      </c>
      <c r="F27" s="26">
        <f t="shared" si="5"/>
        <v>20</v>
      </c>
      <c r="G27" s="26">
        <v>32.827136993408203</v>
      </c>
      <c r="H27" s="41">
        <f t="shared" si="6"/>
        <v>19.783649551974921</v>
      </c>
      <c r="I27" s="227">
        <f t="shared" ref="I27:I28" si="10">H27/$I$29*100</f>
        <v>84.671643455725203</v>
      </c>
      <c r="J27" s="267"/>
      <c r="K27" s="267"/>
    </row>
    <row r="28" spans="2:14" ht="15" customHeight="1" thickBot="1" x14ac:dyDescent="0.35">
      <c r="B28" s="270"/>
      <c r="C28" s="30">
        <v>3</v>
      </c>
      <c r="D28" s="22">
        <f t="shared" si="4"/>
        <v>0.89800000000000002</v>
      </c>
      <c r="E28" s="22">
        <f t="shared" si="8"/>
        <v>6.5684689350018366E-2</v>
      </c>
      <c r="F28" s="31">
        <f t="shared" si="5"/>
        <v>20</v>
      </c>
      <c r="G28" s="31">
        <v>60.357227325439453</v>
      </c>
      <c r="H28" s="42">
        <f t="shared" si="6"/>
        <v>18.377867939303144</v>
      </c>
      <c r="I28" s="227">
        <f t="shared" si="10"/>
        <v>78.655067031236484</v>
      </c>
      <c r="J28" s="260"/>
      <c r="K28" s="267"/>
    </row>
    <row r="29" spans="2:14" ht="14.4" customHeight="1" x14ac:dyDescent="0.3">
      <c r="B29" s="255" t="s">
        <v>85</v>
      </c>
      <c r="C29" s="29" t="s">
        <v>64</v>
      </c>
      <c r="D29" s="1" t="s">
        <v>86</v>
      </c>
      <c r="E29" s="1">
        <f>E13</f>
        <v>8.9800000000000005E-2</v>
      </c>
      <c r="F29" s="1">
        <f t="shared" si="5"/>
        <v>30.072199999999999</v>
      </c>
      <c r="G29" s="11">
        <v>69.142677307128906</v>
      </c>
      <c r="H29" s="34">
        <f>(G29*F29*10^(-3))/E29</f>
        <v>23.154481297499352</v>
      </c>
      <c r="I29" s="257">
        <f>AVERAGE(H29:H30)</f>
        <v>23.365141793096047</v>
      </c>
      <c r="J29" s="259">
        <f>_xlfn.STDEV.S(H29:H30)/AVERAGE(H29:H30)*100</f>
        <v>1.2750572308408299</v>
      </c>
      <c r="K29" s="259">
        <f>I29/I29*100</f>
        <v>100</v>
      </c>
    </row>
    <row r="30" spans="2:14" ht="14.4" customHeight="1" thickBot="1" x14ac:dyDescent="0.35">
      <c r="B30" s="256"/>
      <c r="C30" s="30" t="s">
        <v>65</v>
      </c>
      <c r="D30" s="3" t="s">
        <v>86</v>
      </c>
      <c r="E30" s="3">
        <f>E14</f>
        <v>8.2600000000000007E-2</v>
      </c>
      <c r="F30" s="3">
        <f t="shared" si="5"/>
        <v>30.996400000000001</v>
      </c>
      <c r="G30" s="31">
        <v>62.825401306152344</v>
      </c>
      <c r="H30" s="43">
        <f t="shared" si="6"/>
        <v>23.575802288692742</v>
      </c>
      <c r="I30" s="258"/>
      <c r="J30" s="260"/>
      <c r="K30" s="260"/>
    </row>
    <row r="31" spans="2:14" ht="15" customHeight="1" x14ac:dyDescent="0.3"/>
    <row r="32" spans="2:14" ht="15" thickBot="1" x14ac:dyDescent="0.35"/>
    <row r="33" spans="2:4" ht="15" thickBot="1" x14ac:dyDescent="0.35">
      <c r="B33" s="158" t="s">
        <v>72</v>
      </c>
      <c r="C33" s="124" t="s">
        <v>113</v>
      </c>
      <c r="D33" s="158"/>
    </row>
    <row r="34" spans="2:4" x14ac:dyDescent="0.3">
      <c r="B34" s="308" t="s">
        <v>190</v>
      </c>
      <c r="C34" s="301">
        <v>5.7883035807542464</v>
      </c>
      <c r="D34" s="298">
        <f>100-C34</f>
        <v>94.211696419245754</v>
      </c>
    </row>
    <row r="35" spans="2:4" x14ac:dyDescent="0.3">
      <c r="B35" s="309"/>
      <c r="C35" s="303"/>
      <c r="D35" s="299"/>
    </row>
    <row r="36" spans="2:4" ht="15" thickBot="1" x14ac:dyDescent="0.35">
      <c r="B36" s="310"/>
      <c r="C36" s="302"/>
      <c r="D36" s="300"/>
    </row>
    <row r="37" spans="2:4" x14ac:dyDescent="0.3">
      <c r="B37" s="288" t="s">
        <v>83</v>
      </c>
      <c r="C37" s="301">
        <v>55.373790870405038</v>
      </c>
      <c r="D37" s="298">
        <f>100-C37</f>
        <v>44.626209129594962</v>
      </c>
    </row>
    <row r="38" spans="2:4" x14ac:dyDescent="0.3">
      <c r="B38" s="289"/>
      <c r="C38" s="303"/>
      <c r="D38" s="299"/>
    </row>
    <row r="39" spans="2:4" ht="15" thickBot="1" x14ac:dyDescent="0.35">
      <c r="B39" s="290"/>
      <c r="C39" s="302"/>
      <c r="D39" s="300"/>
    </row>
    <row r="40" spans="2:4" x14ac:dyDescent="0.3">
      <c r="B40" s="291" t="s">
        <v>84</v>
      </c>
      <c r="C40" s="301">
        <v>67.222317965315398</v>
      </c>
      <c r="D40" s="298">
        <f>100-C40</f>
        <v>32.777682034684602</v>
      </c>
    </row>
    <row r="41" spans="2:4" x14ac:dyDescent="0.3">
      <c r="B41" s="292"/>
      <c r="C41" s="303"/>
      <c r="D41" s="299"/>
    </row>
    <row r="42" spans="2:4" ht="15" thickBot="1" x14ac:dyDescent="0.35">
      <c r="B42" s="292"/>
      <c r="C42" s="302"/>
      <c r="D42" s="300"/>
    </row>
    <row r="43" spans="2:4" x14ac:dyDescent="0.3">
      <c r="B43" s="296" t="s">
        <v>85</v>
      </c>
      <c r="C43" s="301">
        <v>100</v>
      </c>
      <c r="D43" s="304">
        <v>100</v>
      </c>
    </row>
    <row r="44" spans="2:4" ht="15" thickBot="1" x14ac:dyDescent="0.35">
      <c r="B44" s="297"/>
      <c r="C44" s="302"/>
      <c r="D44" s="305"/>
    </row>
    <row r="46" spans="2:4" ht="15" thickBot="1" x14ac:dyDescent="0.35"/>
    <row r="47" spans="2:4" ht="15" thickBot="1" x14ac:dyDescent="0.35">
      <c r="B47" s="158" t="s">
        <v>72</v>
      </c>
      <c r="C47" s="124" t="s">
        <v>114</v>
      </c>
      <c r="D47" s="158"/>
    </row>
    <row r="48" spans="2:4" ht="15" thickBot="1" x14ac:dyDescent="0.35">
      <c r="B48" s="285" t="s">
        <v>82</v>
      </c>
      <c r="C48" s="301">
        <v>14.318149750760689</v>
      </c>
      <c r="D48" s="298">
        <f>100-C48</f>
        <v>85.681850249239318</v>
      </c>
    </row>
    <row r="49" spans="2:9" ht="14.4" customHeight="1" x14ac:dyDescent="0.3">
      <c r="B49" s="286"/>
      <c r="C49" s="303"/>
      <c r="D49" s="299"/>
      <c r="F49" s="308" t="s">
        <v>190</v>
      </c>
      <c r="G49" s="301">
        <v>5.7883035807542464</v>
      </c>
      <c r="H49" s="298">
        <f>100-G49</f>
        <v>94.211696419245754</v>
      </c>
      <c r="I49">
        <v>0.38589364804708876</v>
      </c>
    </row>
    <row r="50" spans="2:9" ht="15" customHeight="1" thickBot="1" x14ac:dyDescent="0.35">
      <c r="B50" s="287"/>
      <c r="C50" s="302"/>
      <c r="D50" s="300"/>
      <c r="F50" s="309"/>
      <c r="G50" s="303"/>
      <c r="H50" s="299"/>
    </row>
    <row r="51" spans="2:9" ht="15" customHeight="1" thickBot="1" x14ac:dyDescent="0.35">
      <c r="B51" s="288" t="s">
        <v>83</v>
      </c>
      <c r="C51" s="301">
        <v>105.05802340463988</v>
      </c>
      <c r="D51" s="298">
        <f>ABS(100-C51)</f>
        <v>5.0580234046398829</v>
      </c>
      <c r="F51" s="310"/>
      <c r="G51" s="302"/>
      <c r="H51" s="300"/>
    </row>
    <row r="52" spans="2:9" x14ac:dyDescent="0.3">
      <c r="B52" s="289"/>
      <c r="C52" s="303"/>
      <c r="D52" s="299"/>
      <c r="F52" s="261" t="s">
        <v>191</v>
      </c>
      <c r="G52" s="301">
        <v>55.373790870405038</v>
      </c>
      <c r="H52" s="298">
        <f>100-G52</f>
        <v>44.626209129594962</v>
      </c>
      <c r="I52">
        <v>2.0860151354611021</v>
      </c>
    </row>
    <row r="53" spans="2:9" ht="15" thickBot="1" x14ac:dyDescent="0.35">
      <c r="B53" s="290"/>
      <c r="C53" s="302"/>
      <c r="D53" s="300"/>
      <c r="F53" s="262"/>
      <c r="G53" s="303"/>
      <c r="H53" s="299"/>
    </row>
    <row r="54" spans="2:9" ht="15" thickBot="1" x14ac:dyDescent="0.35">
      <c r="B54" s="291" t="s">
        <v>84</v>
      </c>
      <c r="C54" s="301">
        <v>81.402100182415253</v>
      </c>
      <c r="D54" s="298">
        <f>100-C54</f>
        <v>18.597899817584747</v>
      </c>
      <c r="F54" s="263"/>
      <c r="G54" s="302"/>
      <c r="H54" s="300"/>
    </row>
    <row r="55" spans="2:9" x14ac:dyDescent="0.3">
      <c r="B55" s="292"/>
      <c r="C55" s="303"/>
      <c r="D55" s="299"/>
      <c r="F55" s="268" t="s">
        <v>192</v>
      </c>
      <c r="G55" s="301">
        <v>67.222317965315398</v>
      </c>
      <c r="H55" s="298">
        <f>100-G55</f>
        <v>32.777682034684602</v>
      </c>
      <c r="I55">
        <v>2.6470985206898465</v>
      </c>
    </row>
    <row r="56" spans="2:9" ht="15" thickBot="1" x14ac:dyDescent="0.35">
      <c r="B56" s="292"/>
      <c r="C56" s="302"/>
      <c r="D56" s="300"/>
      <c r="F56" s="269"/>
      <c r="G56" s="303"/>
      <c r="H56" s="299"/>
    </row>
    <row r="57" spans="2:9" ht="15" thickBot="1" x14ac:dyDescent="0.35">
      <c r="B57" s="296" t="s">
        <v>85</v>
      </c>
      <c r="C57" s="301">
        <v>100</v>
      </c>
      <c r="D57" s="304">
        <v>100</v>
      </c>
      <c r="F57" s="270"/>
      <c r="G57" s="302"/>
      <c r="H57" s="300"/>
    </row>
    <row r="58" spans="2:9" ht="15" thickBot="1" x14ac:dyDescent="0.35">
      <c r="B58" s="297"/>
      <c r="C58" s="302"/>
      <c r="D58" s="305"/>
    </row>
    <row r="59" spans="2:9" ht="15" thickBot="1" x14ac:dyDescent="0.35"/>
    <row r="60" spans="2:9" ht="14.4" customHeight="1" x14ac:dyDescent="0.3">
      <c r="F60" s="308" t="s">
        <v>190</v>
      </c>
      <c r="G60" s="301">
        <v>14.318149750760689</v>
      </c>
      <c r="H60" s="298">
        <f>100-G60</f>
        <v>85.681850249239318</v>
      </c>
      <c r="I60">
        <v>2.8016391112978125</v>
      </c>
    </row>
    <row r="61" spans="2:9" ht="14.4" customHeight="1" x14ac:dyDescent="0.3">
      <c r="F61" s="309"/>
      <c r="G61" s="303"/>
      <c r="H61" s="299"/>
    </row>
    <row r="62" spans="2:9" ht="15" customHeight="1" thickBot="1" x14ac:dyDescent="0.35">
      <c r="F62" s="310"/>
      <c r="G62" s="302"/>
      <c r="H62" s="300"/>
    </row>
    <row r="63" spans="2:9" ht="14.4" customHeight="1" x14ac:dyDescent="0.3">
      <c r="F63" s="261" t="s">
        <v>191</v>
      </c>
      <c r="G63" s="301">
        <v>105.05802340463988</v>
      </c>
      <c r="H63" s="298">
        <f>ABS(100-G63)</f>
        <v>5.0580234046398829</v>
      </c>
      <c r="I63">
        <v>1.5671523069327546</v>
      </c>
    </row>
    <row r="64" spans="2:9" ht="14.4" customHeight="1" x14ac:dyDescent="0.3">
      <c r="F64" s="262"/>
      <c r="G64" s="303"/>
      <c r="H64" s="299"/>
    </row>
    <row r="65" spans="6:9" ht="15" customHeight="1" thickBot="1" x14ac:dyDescent="0.35">
      <c r="F65" s="263"/>
      <c r="G65" s="302"/>
      <c r="H65" s="300"/>
    </row>
    <row r="66" spans="6:9" ht="14.4" customHeight="1" x14ac:dyDescent="0.3">
      <c r="F66" s="268" t="s">
        <v>192</v>
      </c>
      <c r="G66" s="301">
        <v>81.402100182415253</v>
      </c>
      <c r="H66" s="298">
        <f>100-G66</f>
        <v>18.597899817584747</v>
      </c>
      <c r="I66">
        <v>3.0421309289255585</v>
      </c>
    </row>
    <row r="67" spans="6:9" ht="14.4" customHeight="1" x14ac:dyDescent="0.3">
      <c r="F67" s="269"/>
      <c r="G67" s="303"/>
      <c r="H67" s="299"/>
    </row>
    <row r="68" spans="6:9" ht="15" customHeight="1" thickBot="1" x14ac:dyDescent="0.35">
      <c r="F68" s="270"/>
      <c r="G68" s="302"/>
      <c r="H68" s="300"/>
    </row>
  </sheetData>
  <mergeCells count="68">
    <mergeCell ref="H60:H62"/>
    <mergeCell ref="H63:H65"/>
    <mergeCell ref="H66:H68"/>
    <mergeCell ref="H49:H51"/>
    <mergeCell ref="H52:H54"/>
    <mergeCell ref="H55:H57"/>
    <mergeCell ref="G60:G62"/>
    <mergeCell ref="G63:G65"/>
    <mergeCell ref="G66:G68"/>
    <mergeCell ref="F60:F62"/>
    <mergeCell ref="F63:F65"/>
    <mergeCell ref="F66:F68"/>
    <mergeCell ref="F49:F51"/>
    <mergeCell ref="F52:F54"/>
    <mergeCell ref="F55:F57"/>
    <mergeCell ref="G49:G51"/>
    <mergeCell ref="G52:G54"/>
    <mergeCell ref="G55:G57"/>
    <mergeCell ref="B54:B56"/>
    <mergeCell ref="C54:C56"/>
    <mergeCell ref="D54:D56"/>
    <mergeCell ref="B57:B58"/>
    <mergeCell ref="C57:C58"/>
    <mergeCell ref="D57:D58"/>
    <mergeCell ref="B48:B50"/>
    <mergeCell ref="C48:C50"/>
    <mergeCell ref="D48:D50"/>
    <mergeCell ref="B51:B53"/>
    <mergeCell ref="C51:C53"/>
    <mergeCell ref="D51:D53"/>
    <mergeCell ref="B40:B42"/>
    <mergeCell ref="C40:C42"/>
    <mergeCell ref="D40:D42"/>
    <mergeCell ref="B43:B44"/>
    <mergeCell ref="C43:C44"/>
    <mergeCell ref="D43:D44"/>
    <mergeCell ref="B34:B36"/>
    <mergeCell ref="C34:C36"/>
    <mergeCell ref="D34:D36"/>
    <mergeCell ref="B37:B39"/>
    <mergeCell ref="C37:C39"/>
    <mergeCell ref="D37:D39"/>
    <mergeCell ref="B29:B30"/>
    <mergeCell ref="B26:B28"/>
    <mergeCell ref="B4:B6"/>
    <mergeCell ref="B7:B9"/>
    <mergeCell ref="B10:B12"/>
    <mergeCell ref="B20:B22"/>
    <mergeCell ref="B23:B25"/>
    <mergeCell ref="B13:B14"/>
    <mergeCell ref="J4:J6"/>
    <mergeCell ref="K4:K6"/>
    <mergeCell ref="J7:J9"/>
    <mergeCell ref="K7:K9"/>
    <mergeCell ref="J10:J12"/>
    <mergeCell ref="K10:K12"/>
    <mergeCell ref="I13:I14"/>
    <mergeCell ref="J13:J14"/>
    <mergeCell ref="K13:K14"/>
    <mergeCell ref="J20:J22"/>
    <mergeCell ref="K20:K22"/>
    <mergeCell ref="I29:I30"/>
    <mergeCell ref="J29:J30"/>
    <mergeCell ref="K29:K30"/>
    <mergeCell ref="J23:J25"/>
    <mergeCell ref="K23:K25"/>
    <mergeCell ref="J26:J28"/>
    <mergeCell ref="K26:K2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29CA-1FB5-4785-B2A3-28EA27A8D6C2}">
  <dimension ref="B1:P29"/>
  <sheetViews>
    <sheetView topLeftCell="A6" zoomScale="98" zoomScaleNormal="98" workbookViewId="0">
      <selection activeCell="D27" sqref="D27"/>
    </sheetView>
  </sheetViews>
  <sheetFormatPr baseColWidth="10" defaultColWidth="11.5546875" defaultRowHeight="14.4" x14ac:dyDescent="0.3"/>
  <cols>
    <col min="2" max="2" width="11.5546875" customWidth="1"/>
    <col min="4" max="4" width="17.5546875" customWidth="1"/>
    <col min="5" max="5" width="15" customWidth="1"/>
    <col min="6" max="6" width="13.6640625" customWidth="1"/>
    <col min="7" max="7" width="17.6640625" customWidth="1"/>
    <col min="8" max="8" width="12.44140625" customWidth="1"/>
    <col min="13" max="13" width="27.5546875" bestFit="1" customWidth="1"/>
  </cols>
  <sheetData>
    <row r="1" spans="2:16" ht="15" thickBot="1" x14ac:dyDescent="0.35"/>
    <row r="2" spans="2:16" ht="16.2" thickBot="1" x14ac:dyDescent="0.35">
      <c r="B2" s="4" t="s">
        <v>36</v>
      </c>
    </row>
    <row r="3" spans="2:16" ht="16.2" thickBot="1" x14ac:dyDescent="0.35">
      <c r="B3" s="202" t="s">
        <v>72</v>
      </c>
      <c r="C3" s="47" t="s">
        <v>73</v>
      </c>
      <c r="D3" s="47" t="s">
        <v>74</v>
      </c>
      <c r="E3" s="47" t="s">
        <v>75</v>
      </c>
      <c r="F3" s="122" t="s">
        <v>76</v>
      </c>
      <c r="G3" s="47" t="s">
        <v>77</v>
      </c>
      <c r="H3" s="124" t="s">
        <v>78</v>
      </c>
      <c r="I3" s="46" t="s">
        <v>79</v>
      </c>
      <c r="J3" s="47" t="s">
        <v>80</v>
      </c>
      <c r="K3" s="47" t="s">
        <v>81</v>
      </c>
      <c r="M3" s="13" t="s">
        <v>63</v>
      </c>
      <c r="N3" s="14">
        <v>1</v>
      </c>
      <c r="O3" s="15">
        <v>2</v>
      </c>
    </row>
    <row r="4" spans="2:16" x14ac:dyDescent="0.3">
      <c r="B4" s="277" t="s">
        <v>82</v>
      </c>
      <c r="C4" s="29">
        <v>1</v>
      </c>
      <c r="D4" s="20">
        <v>0.53549999999999998</v>
      </c>
      <c r="E4" s="20">
        <f>D4*$P$8</f>
        <v>3.6850085318662205E-2</v>
      </c>
      <c r="F4" s="11">
        <v>20</v>
      </c>
      <c r="G4" s="147">
        <v>3.451725959777832</v>
      </c>
      <c r="H4" s="125">
        <f>(G4*F4*10^(-3))/E4</f>
        <v>1.8733883137197267</v>
      </c>
      <c r="I4" s="315">
        <f>AVERAGE(H4:H5)</f>
        <v>1.9385141767555703</v>
      </c>
      <c r="J4" s="259">
        <f>_xlfn.STDEV.S(H4:H5)/AVERAGE(H4:H5)*100</f>
        <v>4.7511583805226758</v>
      </c>
      <c r="K4" s="259">
        <f>I4/$I$10*100</f>
        <v>9.9902427484889902</v>
      </c>
      <c r="M4" s="16" t="s">
        <v>66</v>
      </c>
      <c r="N4" s="7">
        <v>9.5632999999999999</v>
      </c>
      <c r="O4" s="17">
        <v>9.5159000000000002</v>
      </c>
    </row>
    <row r="5" spans="2:16" ht="15" thickBot="1" x14ac:dyDescent="0.35">
      <c r="B5" s="278"/>
      <c r="C5" s="30">
        <v>2</v>
      </c>
      <c r="D5" s="22">
        <v>0.50280000000000002</v>
      </c>
      <c r="E5" s="22">
        <f t="shared" ref="E5:E9" si="0">D5*$P$8</f>
        <v>3.4599856019091234E-2</v>
      </c>
      <c r="F5" s="31">
        <v>20</v>
      </c>
      <c r="G5" s="148">
        <v>3.466282844543457</v>
      </c>
      <c r="H5" s="126">
        <f t="shared" ref="H5:H11" si="1">(G5*F5*10^(-3))/E5</f>
        <v>2.0036400397914136</v>
      </c>
      <c r="I5" s="316"/>
      <c r="J5" s="267"/>
      <c r="K5" s="267"/>
      <c r="M5" s="16" t="s">
        <v>67</v>
      </c>
      <c r="N5" s="7">
        <v>10.212199999999999</v>
      </c>
      <c r="O5" s="17">
        <v>10.5867</v>
      </c>
    </row>
    <row r="6" spans="2:16" x14ac:dyDescent="0.3">
      <c r="B6" s="261" t="s">
        <v>83</v>
      </c>
      <c r="C6" s="29">
        <v>1</v>
      </c>
      <c r="D6" s="20">
        <v>0.51439999999999997</v>
      </c>
      <c r="E6" s="20">
        <f t="shared" si="0"/>
        <v>3.5398102498449741E-2</v>
      </c>
      <c r="F6" s="11">
        <v>20</v>
      </c>
      <c r="G6" s="147">
        <v>28.618301391601563</v>
      </c>
      <c r="H6" s="127">
        <f t="shared" si="1"/>
        <v>16.16939856753898</v>
      </c>
      <c r="I6" s="311">
        <f>AVERAGE(H6:H7)</f>
        <v>15.974543660078321</v>
      </c>
      <c r="J6" s="259">
        <f>_xlfn.STDEV.S(H6:H7)/AVERAGE(H6:H7)*100</f>
        <v>1.7250348973315579</v>
      </c>
      <c r="K6" s="259">
        <f>I6/$I$10*100</f>
        <v>82.325716713415147</v>
      </c>
      <c r="M6" s="16" t="s">
        <v>68</v>
      </c>
      <c r="N6" s="7">
        <v>9.6074000000000002</v>
      </c>
      <c r="O6" s="17">
        <v>9.5905000000000005</v>
      </c>
    </row>
    <row r="7" spans="2:16" ht="15" thickBot="1" x14ac:dyDescent="0.35">
      <c r="B7" s="262"/>
      <c r="C7" s="30">
        <v>2</v>
      </c>
      <c r="D7" s="22">
        <v>0.54849999999999999</v>
      </c>
      <c r="E7" s="22">
        <f t="shared" si="0"/>
        <v>3.774467189035708E-2</v>
      </c>
      <c r="F7" s="31">
        <v>20</v>
      </c>
      <c r="G7" s="148">
        <v>29.779958724975586</v>
      </c>
      <c r="H7" s="128">
        <f t="shared" si="1"/>
        <v>15.779688752617664</v>
      </c>
      <c r="I7" s="312"/>
      <c r="J7" s="267"/>
      <c r="K7" s="267"/>
      <c r="M7" s="16" t="s">
        <v>69</v>
      </c>
      <c r="N7" s="7">
        <f>N6-N4</f>
        <v>4.410000000000025E-2</v>
      </c>
      <c r="O7" s="7">
        <f>O6-O4</f>
        <v>7.4600000000000222E-2</v>
      </c>
    </row>
    <row r="8" spans="2:16" ht="15" thickBot="1" x14ac:dyDescent="0.35">
      <c r="B8" s="268" t="s">
        <v>84</v>
      </c>
      <c r="C8" s="29">
        <v>1</v>
      </c>
      <c r="D8" s="20">
        <v>0.53200000000000003</v>
      </c>
      <c r="E8" s="20">
        <f t="shared" si="0"/>
        <v>3.6609235087821275E-2</v>
      </c>
      <c r="F8" s="11">
        <v>20</v>
      </c>
      <c r="G8" s="147">
        <v>27.56153678894043</v>
      </c>
      <c r="H8" s="129">
        <f t="shared" si="1"/>
        <v>15.057149772631703</v>
      </c>
      <c r="I8" s="313">
        <f>AVERAGE(H8:H9)</f>
        <v>15.162711965459367</v>
      </c>
      <c r="J8" s="259">
        <f>_xlfn.STDEV.S(H8:H9)/AVERAGE(H8:H9)*100</f>
        <v>0.98456981251640818</v>
      </c>
      <c r="K8" s="259">
        <f>I8/$I$10*100</f>
        <v>78.141896033942658</v>
      </c>
      <c r="M8" s="18" t="s">
        <v>70</v>
      </c>
      <c r="N8" s="19">
        <f>N7/(N5-N4)</f>
        <v>6.7961165048544145E-2</v>
      </c>
      <c r="O8" s="19">
        <f>O7/(O5-O4)</f>
        <v>6.9667538289129818E-2</v>
      </c>
      <c r="P8" s="23">
        <f>AVERAGE(N8:O8)</f>
        <v>6.8814351668836982E-2</v>
      </c>
    </row>
    <row r="9" spans="2:16" ht="15" thickBot="1" x14ac:dyDescent="0.35">
      <c r="B9" s="269"/>
      <c r="C9" s="30">
        <v>2</v>
      </c>
      <c r="D9" s="22">
        <v>0.54259999999999997</v>
      </c>
      <c r="E9" s="22">
        <f t="shared" si="0"/>
        <v>3.7338667215510941E-2</v>
      </c>
      <c r="F9" s="31">
        <v>20</v>
      </c>
      <c r="G9" s="148">
        <v>28.504850387573242</v>
      </c>
      <c r="H9" s="130">
        <f t="shared" si="1"/>
        <v>15.268274158287031</v>
      </c>
      <c r="I9" s="314"/>
      <c r="J9" s="267"/>
      <c r="K9" s="267"/>
    </row>
    <row r="10" spans="2:16" ht="14.4" customHeight="1" x14ac:dyDescent="0.3">
      <c r="B10" s="296" t="s">
        <v>85</v>
      </c>
      <c r="C10" s="29" t="s">
        <v>64</v>
      </c>
      <c r="D10" s="1"/>
      <c r="E10" s="1">
        <v>5.1900000000000002E-2</v>
      </c>
      <c r="F10" s="1">
        <v>23.694500000000001</v>
      </c>
      <c r="G10" s="147">
        <v>42.79</v>
      </c>
      <c r="H10" s="48">
        <f t="shared" si="1"/>
        <v>19.535407610789981</v>
      </c>
      <c r="I10" s="257">
        <f>AVERAGE(H10:H11)</f>
        <v>19.404074811383012</v>
      </c>
      <c r="J10" s="259">
        <f>_xlfn.STDEV.S(H10:H11)/AVERAGE(H10:H11)*100</f>
        <v>0.95718362205449059</v>
      </c>
      <c r="K10" s="259">
        <f>I10/I10*100</f>
        <v>100</v>
      </c>
    </row>
    <row r="11" spans="2:16" ht="14.4" customHeight="1" thickBot="1" x14ac:dyDescent="0.35">
      <c r="B11" s="297"/>
      <c r="C11" s="30" t="s">
        <v>65</v>
      </c>
      <c r="D11" s="3"/>
      <c r="E11" s="3">
        <v>8.3500000000000005E-2</v>
      </c>
      <c r="F11" s="3">
        <v>29.862200000000001</v>
      </c>
      <c r="G11" s="148">
        <v>53.89</v>
      </c>
      <c r="H11" s="49">
        <f t="shared" si="1"/>
        <v>19.272742011976046</v>
      </c>
      <c r="I11" s="258"/>
      <c r="J11" s="260"/>
      <c r="K11" s="260"/>
    </row>
    <row r="12" spans="2:16" ht="14.4" customHeight="1" x14ac:dyDescent="0.3">
      <c r="B12" s="106"/>
      <c r="C12" s="107"/>
      <c r="D12" s="107"/>
      <c r="E12" s="107"/>
      <c r="F12" s="107"/>
      <c r="G12" s="108"/>
      <c r="H12" s="109"/>
      <c r="I12" s="109"/>
      <c r="J12" s="108"/>
      <c r="K12" s="108"/>
      <c r="M12" s="274" t="s">
        <v>90</v>
      </c>
      <c r="N12" s="111" t="s">
        <v>91</v>
      </c>
      <c r="O12" s="112" t="s">
        <v>92</v>
      </c>
    </row>
    <row r="13" spans="2:16" ht="15" customHeight="1" x14ac:dyDescent="0.3">
      <c r="M13" s="276"/>
      <c r="N13" s="113" t="s">
        <v>93</v>
      </c>
      <c r="O13" s="114" t="s">
        <v>93</v>
      </c>
    </row>
    <row r="14" spans="2:16" ht="15" thickBot="1" x14ac:dyDescent="0.35">
      <c r="M14" s="115" t="s">
        <v>116</v>
      </c>
      <c r="N14" s="108">
        <v>3.451725959777832</v>
      </c>
      <c r="O14" s="116">
        <v>6.1389107704162598</v>
      </c>
    </row>
    <row r="15" spans="2:16" ht="16.2" thickBot="1" x14ac:dyDescent="0.35">
      <c r="B15" s="4" t="s">
        <v>46</v>
      </c>
      <c r="M15" s="115" t="s">
        <v>117</v>
      </c>
      <c r="N15" s="108">
        <v>3.466282844543457</v>
      </c>
      <c r="O15" s="116">
        <v>5.8565096855163574</v>
      </c>
    </row>
    <row r="16" spans="2:16" ht="15" thickBot="1" x14ac:dyDescent="0.35">
      <c r="B16" s="202" t="s">
        <v>72</v>
      </c>
      <c r="C16" s="47" t="s">
        <v>73</v>
      </c>
      <c r="D16" s="47" t="s">
        <v>74</v>
      </c>
      <c r="E16" s="47" t="s">
        <v>75</v>
      </c>
      <c r="F16" s="122" t="s">
        <v>76</v>
      </c>
      <c r="G16" s="47" t="s">
        <v>87</v>
      </c>
      <c r="H16" s="47" t="s">
        <v>88</v>
      </c>
      <c r="I16" s="46" t="s">
        <v>79</v>
      </c>
      <c r="J16" s="47" t="s">
        <v>80</v>
      </c>
      <c r="K16" s="47" t="s">
        <v>81</v>
      </c>
      <c r="M16" s="115" t="s">
        <v>118</v>
      </c>
      <c r="N16" s="108">
        <v>28.618301391601563</v>
      </c>
      <c r="O16" s="116">
        <v>51.818225860595703</v>
      </c>
    </row>
    <row r="17" spans="2:15" ht="15" customHeight="1" x14ac:dyDescent="0.3">
      <c r="B17" s="277" t="s">
        <v>82</v>
      </c>
      <c r="C17" s="29">
        <v>1</v>
      </c>
      <c r="D17" s="1">
        <f t="shared" ref="D17:D22" si="2">D4</f>
        <v>0.53549999999999998</v>
      </c>
      <c r="E17" s="20">
        <f>D17*$P$8</f>
        <v>3.6850085318662205E-2</v>
      </c>
      <c r="F17" s="11">
        <f t="shared" ref="F17:F24" si="3">F4</f>
        <v>20</v>
      </c>
      <c r="G17" s="147">
        <v>6.1389107704162598</v>
      </c>
      <c r="H17" s="125">
        <f>(G17*F17*10^(-3))/E17</f>
        <v>3.3318298817111804</v>
      </c>
      <c r="I17" s="315">
        <f>AVERAGE(H17:H18)</f>
        <v>3.3585548415201765</v>
      </c>
      <c r="J17" s="259">
        <f>_xlfn.STDEV.S(H17:H18)/AVERAGE(H17:H18)*100</f>
        <v>1.1253292680684968</v>
      </c>
      <c r="K17" s="259">
        <f>I17/$I$23*100</f>
        <v>16.496274355734169</v>
      </c>
      <c r="M17" s="115" t="s">
        <v>119</v>
      </c>
      <c r="N17" s="108">
        <v>29.779958724975586</v>
      </c>
      <c r="O17" s="116">
        <v>53.891387939453125</v>
      </c>
    </row>
    <row r="18" spans="2:15" ht="14.4" customHeight="1" thickBot="1" x14ac:dyDescent="0.35">
      <c r="B18" s="278"/>
      <c r="C18" s="30">
        <v>2</v>
      </c>
      <c r="D18" s="3">
        <f t="shared" si="2"/>
        <v>0.50280000000000002</v>
      </c>
      <c r="E18" s="22">
        <f t="shared" ref="E18:E22" si="4">D18*$P$8</f>
        <v>3.4599856019091234E-2</v>
      </c>
      <c r="F18" s="31">
        <f t="shared" si="3"/>
        <v>20</v>
      </c>
      <c r="G18" s="148">
        <v>5.8565096855163574</v>
      </c>
      <c r="H18" s="126">
        <f t="shared" ref="H18:H24" si="5">(G18*F18*10^(-3))/E18</f>
        <v>3.3852798013291725</v>
      </c>
      <c r="I18" s="316"/>
      <c r="J18" s="267"/>
      <c r="K18" s="267"/>
      <c r="M18" s="115" t="s">
        <v>120</v>
      </c>
      <c r="N18" s="108">
        <v>27.56153678894043</v>
      </c>
      <c r="O18" s="116">
        <v>37.811912536621094</v>
      </c>
    </row>
    <row r="19" spans="2:15" ht="14.4" customHeight="1" x14ac:dyDescent="0.3">
      <c r="B19" s="261" t="s">
        <v>83</v>
      </c>
      <c r="C19" s="29">
        <v>1</v>
      </c>
      <c r="D19" s="1">
        <f t="shared" si="2"/>
        <v>0.51439999999999997</v>
      </c>
      <c r="E19" s="20">
        <f t="shared" si="4"/>
        <v>3.5398102498449741E-2</v>
      </c>
      <c r="F19" s="11">
        <f t="shared" si="3"/>
        <v>20</v>
      </c>
      <c r="G19" s="147">
        <v>51.818225860595703</v>
      </c>
      <c r="H19" s="127">
        <f>(G19*F19*10^(-3))/E19</f>
        <v>29.277403139258709</v>
      </c>
      <c r="I19" s="311">
        <f>AVERAGE(H19:H20)</f>
        <v>28.916581132604485</v>
      </c>
      <c r="J19" s="259">
        <f>_xlfn.STDEV.S(H19:H20)/AVERAGE(H19:H20)*100</f>
        <v>1.7646601203408467</v>
      </c>
      <c r="K19" s="259">
        <f>I19/$I$23*100</f>
        <v>142.03009279353589</v>
      </c>
      <c r="M19" s="115" t="s">
        <v>121</v>
      </c>
      <c r="N19" s="108">
        <v>28.504850387573242</v>
      </c>
      <c r="O19" s="116">
        <v>39.691020965576172</v>
      </c>
    </row>
    <row r="20" spans="2:15" ht="14.4" customHeight="1" thickBot="1" x14ac:dyDescent="0.35">
      <c r="B20" s="262"/>
      <c r="C20" s="30">
        <v>2</v>
      </c>
      <c r="D20" s="3">
        <f t="shared" si="2"/>
        <v>0.54849999999999999</v>
      </c>
      <c r="E20" s="22">
        <f t="shared" si="4"/>
        <v>3.774467189035708E-2</v>
      </c>
      <c r="F20" s="31">
        <f t="shared" si="3"/>
        <v>20</v>
      </c>
      <c r="G20" s="148">
        <v>53.891387939453125</v>
      </c>
      <c r="H20" s="128">
        <f t="shared" si="5"/>
        <v>28.555759125950264</v>
      </c>
      <c r="I20" s="312"/>
      <c r="J20" s="267"/>
      <c r="K20" s="267"/>
      <c r="M20" s="115" t="s">
        <v>94</v>
      </c>
      <c r="N20" s="108">
        <v>3.5028812885284424</v>
      </c>
      <c r="O20" s="116">
        <v>6.023223876953125</v>
      </c>
    </row>
    <row r="21" spans="2:15" ht="14.4" customHeight="1" x14ac:dyDescent="0.3">
      <c r="B21" s="268" t="s">
        <v>84</v>
      </c>
      <c r="C21" s="29">
        <v>1</v>
      </c>
      <c r="D21" s="1">
        <f t="shared" si="2"/>
        <v>0.53200000000000003</v>
      </c>
      <c r="E21" s="20">
        <f t="shared" si="4"/>
        <v>3.6609235087821275E-2</v>
      </c>
      <c r="F21" s="11">
        <f t="shared" si="3"/>
        <v>20</v>
      </c>
      <c r="G21" s="147">
        <v>37.811912536621094</v>
      </c>
      <c r="H21" s="129">
        <f t="shared" si="5"/>
        <v>20.657035005465008</v>
      </c>
      <c r="I21" s="313">
        <f>AVERAGE(H21:H22)</f>
        <v>20.958522247274654</v>
      </c>
      <c r="J21" s="259">
        <f>_xlfn.STDEV.S(H21:H22)/AVERAGE(H21:H22)*100</f>
        <v>2.0343387821872834</v>
      </c>
      <c r="K21" s="259">
        <f>I21/$I$23*100</f>
        <v>102.94235151607958</v>
      </c>
      <c r="M21" s="115" t="s">
        <v>95</v>
      </c>
      <c r="N21" s="108">
        <v>20.748758316040039</v>
      </c>
      <c r="O21" s="116">
        <v>31.659112930297852</v>
      </c>
    </row>
    <row r="22" spans="2:15" ht="14.4" customHeight="1" thickBot="1" x14ac:dyDescent="0.35">
      <c r="B22" s="269"/>
      <c r="C22" s="30">
        <v>2</v>
      </c>
      <c r="D22" s="3">
        <f t="shared" si="2"/>
        <v>0.54259999999999997</v>
      </c>
      <c r="E22" s="22">
        <f t="shared" si="4"/>
        <v>3.7338667215510941E-2</v>
      </c>
      <c r="F22" s="31">
        <f t="shared" si="3"/>
        <v>20</v>
      </c>
      <c r="G22" s="148">
        <v>39.691020965576172</v>
      </c>
      <c r="H22" s="130">
        <f t="shared" si="5"/>
        <v>21.2600094890843</v>
      </c>
      <c r="I22" s="314"/>
      <c r="J22" s="267"/>
      <c r="K22" s="267"/>
      <c r="M22" s="115" t="s">
        <v>96</v>
      </c>
      <c r="N22" s="108">
        <v>20.68773078918457</v>
      </c>
      <c r="O22" s="116">
        <v>25.712881088256836</v>
      </c>
    </row>
    <row r="23" spans="2:15" ht="14.4" customHeight="1" x14ac:dyDescent="0.3">
      <c r="B23" s="255" t="s">
        <v>85</v>
      </c>
      <c r="C23" s="142" t="s">
        <v>64</v>
      </c>
      <c r="D23" s="135" t="s">
        <v>86</v>
      </c>
      <c r="E23" s="135">
        <f>E10</f>
        <v>5.1900000000000002E-2</v>
      </c>
      <c r="F23" s="135">
        <f t="shared" si="3"/>
        <v>23.694500000000001</v>
      </c>
      <c r="G23" s="123">
        <v>44.5</v>
      </c>
      <c r="H23" s="34">
        <f>(G23*F23*10^(-3))/E23</f>
        <v>20.316093448940272</v>
      </c>
      <c r="I23" s="257">
        <f>AVERAGE(H23:H24)</f>
        <v>20.359474928062951</v>
      </c>
      <c r="J23" s="259">
        <f>_xlfn.STDEV.S(H23:H24)/AVERAGE(H23:H24)*100</f>
        <v>0.30133722184815231</v>
      </c>
      <c r="K23" s="259">
        <f>I23/I23*100</f>
        <v>100</v>
      </c>
      <c r="M23" s="115" t="s">
        <v>97</v>
      </c>
      <c r="N23" s="108">
        <v>3.004986047744751</v>
      </c>
      <c r="O23" s="116">
        <v>5.5740585327148438</v>
      </c>
    </row>
    <row r="24" spans="2:15" ht="14.4" customHeight="1" thickBot="1" x14ac:dyDescent="0.35">
      <c r="B24" s="256"/>
      <c r="C24" s="30" t="s">
        <v>65</v>
      </c>
      <c r="D24" s="3" t="s">
        <v>86</v>
      </c>
      <c r="E24" s="3">
        <f>E11</f>
        <v>8.3500000000000005E-2</v>
      </c>
      <c r="F24" s="3">
        <f t="shared" si="3"/>
        <v>29.862200000000001</v>
      </c>
      <c r="G24" s="31">
        <v>57.05</v>
      </c>
      <c r="H24" s="43">
        <f t="shared" si="5"/>
        <v>20.402856407185627</v>
      </c>
      <c r="I24" s="258"/>
      <c r="J24" s="260"/>
      <c r="K24" s="260"/>
      <c r="M24" s="115" t="s">
        <v>98</v>
      </c>
      <c r="N24" s="108">
        <v>16.073902130126953</v>
      </c>
      <c r="O24" s="116">
        <v>23.486221313476563</v>
      </c>
    </row>
    <row r="25" spans="2:15" ht="15" customHeight="1" x14ac:dyDescent="0.3">
      <c r="M25" s="115" t="s">
        <v>99</v>
      </c>
      <c r="N25" s="108">
        <v>14.378354072570801</v>
      </c>
      <c r="O25" s="116">
        <v>17.550207138061523</v>
      </c>
    </row>
    <row r="26" spans="2:15" ht="15" customHeight="1" x14ac:dyDescent="0.3">
      <c r="M26" s="115" t="s">
        <v>100</v>
      </c>
      <c r="N26" s="108">
        <v>33.296981811523438</v>
      </c>
      <c r="O26" s="116">
        <v>58.32257080078125</v>
      </c>
    </row>
    <row r="27" spans="2:15" x14ac:dyDescent="0.3">
      <c r="M27" s="115" t="s">
        <v>101</v>
      </c>
      <c r="N27" s="108">
        <v>23.827253341674805</v>
      </c>
      <c r="O27" s="116">
        <v>42.610195159912109</v>
      </c>
    </row>
    <row r="28" spans="2:15" x14ac:dyDescent="0.3">
      <c r="M28" s="115" t="s">
        <v>102</v>
      </c>
      <c r="N28" s="108">
        <v>36.853118896484375</v>
      </c>
      <c r="O28" s="116">
        <v>46.180561065673828</v>
      </c>
    </row>
    <row r="29" spans="2:15" ht="15" thickBot="1" x14ac:dyDescent="0.35">
      <c r="M29" s="117" t="s">
        <v>103</v>
      </c>
      <c r="N29" s="118">
        <v>27.74323844909668</v>
      </c>
      <c r="O29" s="119">
        <v>34.443450927734375</v>
      </c>
    </row>
  </sheetData>
  <mergeCells count="33">
    <mergeCell ref="M12:M13"/>
    <mergeCell ref="B4:B5"/>
    <mergeCell ref="I4:I5"/>
    <mergeCell ref="J4:J5"/>
    <mergeCell ref="K4:K5"/>
    <mergeCell ref="B6:B7"/>
    <mergeCell ref="I6:I7"/>
    <mergeCell ref="J6:J7"/>
    <mergeCell ref="K6:K7"/>
    <mergeCell ref="B8:B9"/>
    <mergeCell ref="I8:I9"/>
    <mergeCell ref="J8:J9"/>
    <mergeCell ref="K8:K9"/>
    <mergeCell ref="B10:B11"/>
    <mergeCell ref="I10:I11"/>
    <mergeCell ref="J10:J11"/>
    <mergeCell ref="K10:K11"/>
    <mergeCell ref="B17:B18"/>
    <mergeCell ref="I17:I18"/>
    <mergeCell ref="J17:J18"/>
    <mergeCell ref="K17:K18"/>
    <mergeCell ref="B23:B24"/>
    <mergeCell ref="I23:I24"/>
    <mergeCell ref="J23:J24"/>
    <mergeCell ref="K23:K24"/>
    <mergeCell ref="B19:B20"/>
    <mergeCell ref="I19:I20"/>
    <mergeCell ref="J19:J20"/>
    <mergeCell ref="K19:K20"/>
    <mergeCell ref="B21:B22"/>
    <mergeCell ref="I21:I22"/>
    <mergeCell ref="J21:J22"/>
    <mergeCell ref="K21:K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941A-2DCA-4F3B-B185-5A883CA9AC9C}">
  <sheetPr>
    <tabColor rgb="FFFF3333"/>
  </sheetPr>
  <dimension ref="B1:M37"/>
  <sheetViews>
    <sheetView topLeftCell="G7" zoomScale="73" zoomScaleNormal="73" workbookViewId="0">
      <selection activeCell="B44" sqref="B44"/>
    </sheetView>
  </sheetViews>
  <sheetFormatPr baseColWidth="10" defaultColWidth="11.44140625" defaultRowHeight="14.4" x14ac:dyDescent="0.3"/>
  <cols>
    <col min="1" max="1" width="7.5546875" customWidth="1"/>
    <col min="2" max="2" width="24.5546875" customWidth="1"/>
    <col min="3" max="3" width="20.33203125" customWidth="1"/>
    <col min="4" max="4" width="16.109375" customWidth="1"/>
    <col min="5" max="5" width="14.44140625" customWidth="1"/>
    <col min="6" max="6" width="16" customWidth="1"/>
    <col min="7" max="7" width="16.33203125" bestFit="1" customWidth="1"/>
    <col min="9" max="9" width="23.44140625" bestFit="1" customWidth="1"/>
    <col min="13" max="13" width="27.5546875" bestFit="1" customWidth="1"/>
  </cols>
  <sheetData>
    <row r="1" spans="2:12" ht="15" thickBot="1" x14ac:dyDescent="0.35">
      <c r="B1" s="93"/>
      <c r="C1" s="93"/>
      <c r="D1" s="331" t="s">
        <v>122</v>
      </c>
      <c r="E1" s="332"/>
      <c r="F1" s="332"/>
      <c r="G1" s="333"/>
    </row>
    <row r="2" spans="2:12" ht="16.2" thickBot="1" x14ac:dyDescent="0.35">
      <c r="B2" s="94" t="s">
        <v>123</v>
      </c>
      <c r="C2" s="98" t="s">
        <v>124</v>
      </c>
      <c r="D2" s="98" t="s">
        <v>3</v>
      </c>
      <c r="E2" s="98" t="s">
        <v>125</v>
      </c>
      <c r="F2" s="98" t="s">
        <v>126</v>
      </c>
      <c r="G2" s="98" t="s">
        <v>127</v>
      </c>
      <c r="I2" s="13" t="s">
        <v>128</v>
      </c>
      <c r="J2" s="14">
        <v>1</v>
      </c>
      <c r="K2" s="15">
        <v>2</v>
      </c>
    </row>
    <row r="3" spans="2:12" ht="16.8" thickBot="1" x14ac:dyDescent="0.35">
      <c r="B3" s="97" t="s">
        <v>129</v>
      </c>
      <c r="C3" s="100" t="s">
        <v>130</v>
      </c>
      <c r="D3" s="99">
        <v>30</v>
      </c>
      <c r="E3" s="99">
        <v>7</v>
      </c>
      <c r="F3" s="99">
        <v>1</v>
      </c>
      <c r="G3" s="102" t="s">
        <v>131</v>
      </c>
      <c r="I3" s="16" t="s">
        <v>66</v>
      </c>
      <c r="J3" s="7">
        <v>9.3315000000000001</v>
      </c>
      <c r="K3" s="17">
        <v>9.4156999999999993</v>
      </c>
    </row>
    <row r="4" spans="2:12" ht="15" thickBot="1" x14ac:dyDescent="0.35">
      <c r="B4" s="97" t="s">
        <v>132</v>
      </c>
      <c r="C4" s="101" t="s">
        <v>133</v>
      </c>
      <c r="D4" s="99">
        <v>30</v>
      </c>
      <c r="E4" s="99">
        <v>5</v>
      </c>
      <c r="F4" s="99">
        <v>1</v>
      </c>
      <c r="G4" s="102" t="s">
        <v>131</v>
      </c>
      <c r="I4" s="16" t="s">
        <v>134</v>
      </c>
      <c r="J4" s="138">
        <v>10.597</v>
      </c>
      <c r="K4" s="17">
        <v>10.316599999999999</v>
      </c>
    </row>
    <row r="5" spans="2:12" ht="28.2" thickBot="1" x14ac:dyDescent="0.35">
      <c r="B5" s="97" t="s">
        <v>135</v>
      </c>
      <c r="C5" s="101" t="s">
        <v>136</v>
      </c>
      <c r="D5" s="99">
        <v>30</v>
      </c>
      <c r="E5" s="99">
        <v>2</v>
      </c>
      <c r="F5" s="99">
        <v>2</v>
      </c>
      <c r="G5" s="102" t="s">
        <v>131</v>
      </c>
      <c r="I5" s="16" t="s">
        <v>137</v>
      </c>
      <c r="J5" s="2">
        <v>9.5675000000000008</v>
      </c>
      <c r="K5" s="139">
        <v>9.6044999999999998</v>
      </c>
    </row>
    <row r="6" spans="2:12" ht="28.2" thickBot="1" x14ac:dyDescent="0.35">
      <c r="B6" s="97" t="s">
        <v>138</v>
      </c>
      <c r="C6" s="101" t="s">
        <v>139</v>
      </c>
      <c r="D6" s="99">
        <v>30</v>
      </c>
      <c r="E6" s="99">
        <v>3</v>
      </c>
      <c r="F6" s="99">
        <v>2</v>
      </c>
      <c r="G6" s="102">
        <v>85</v>
      </c>
      <c r="I6" s="16" t="s">
        <v>69</v>
      </c>
      <c r="J6" s="2">
        <f>J5-J3</f>
        <v>0.23600000000000065</v>
      </c>
      <c r="K6" s="2">
        <f>K5-K3</f>
        <v>0.18880000000000052</v>
      </c>
    </row>
    <row r="7" spans="2:12" ht="15" thickBot="1" x14ac:dyDescent="0.35">
      <c r="B7" s="214" t="s">
        <v>140</v>
      </c>
      <c r="C7" s="103" t="s">
        <v>141</v>
      </c>
      <c r="D7" s="104">
        <v>5</v>
      </c>
      <c r="E7" s="104" t="s">
        <v>86</v>
      </c>
      <c r="F7" s="104" t="s">
        <v>86</v>
      </c>
      <c r="G7" s="105" t="s">
        <v>86</v>
      </c>
      <c r="I7" s="18" t="s">
        <v>70</v>
      </c>
      <c r="J7" s="140">
        <f>J6/(J4-J3)</f>
        <v>0.18648755432635383</v>
      </c>
      <c r="K7" s="140">
        <f>K6/(K4-K3)</f>
        <v>0.20956820956821015</v>
      </c>
      <c r="L7" s="23">
        <f>AVERAGE(J7:K7)</f>
        <v>0.19802788194728199</v>
      </c>
    </row>
    <row r="8" spans="2:12" ht="15" thickBot="1" x14ac:dyDescent="0.35"/>
    <row r="9" spans="2:12" ht="16.2" thickBot="1" x14ac:dyDescent="0.35">
      <c r="B9" s="4" t="s">
        <v>36</v>
      </c>
    </row>
    <row r="10" spans="2:12" ht="15" thickBot="1" x14ac:dyDescent="0.35">
      <c r="B10" s="209" t="s">
        <v>72</v>
      </c>
      <c r="C10" s="47" t="s">
        <v>73</v>
      </c>
      <c r="D10" s="47" t="s">
        <v>74</v>
      </c>
      <c r="E10" s="47" t="s">
        <v>75</v>
      </c>
      <c r="F10" s="47" t="s">
        <v>76</v>
      </c>
      <c r="G10" s="47" t="s">
        <v>77</v>
      </c>
      <c r="H10" s="47" t="s">
        <v>78</v>
      </c>
      <c r="I10" s="46" t="s">
        <v>142</v>
      </c>
      <c r="J10" s="47" t="s">
        <v>80</v>
      </c>
      <c r="K10" s="47" t="s">
        <v>81</v>
      </c>
    </row>
    <row r="11" spans="2:12" x14ac:dyDescent="0.3">
      <c r="B11" s="321" t="s">
        <v>143</v>
      </c>
      <c r="C11" s="29" t="s">
        <v>61</v>
      </c>
      <c r="D11" s="20">
        <v>0.66120000000000001</v>
      </c>
      <c r="E11" s="20">
        <f>D11*$L$7</f>
        <v>0.13093603554354286</v>
      </c>
      <c r="F11" s="11">
        <v>30</v>
      </c>
      <c r="G11" s="11">
        <v>10.59</v>
      </c>
      <c r="H11" s="95">
        <f>(G11*F11*10^(-3))/E11</f>
        <v>2.4263755862254488</v>
      </c>
      <c r="I11" s="334">
        <f>AVERAGE(H11:H12)</f>
        <v>2.3820717676220311</v>
      </c>
      <c r="J11" s="259">
        <f>_xlfn.STDEV.S(H11:H12)/AVERAGE(H11:H12)*100</f>
        <v>2.6302759633651966</v>
      </c>
      <c r="K11" s="259" t="e">
        <f>I11/#REF!*100</f>
        <v>#REF!</v>
      </c>
    </row>
    <row r="12" spans="2:12" ht="15" thickBot="1" x14ac:dyDescent="0.35">
      <c r="B12" s="322"/>
      <c r="C12" s="30" t="s">
        <v>62</v>
      </c>
      <c r="D12" s="22">
        <v>0.65710000000000002</v>
      </c>
      <c r="E12" s="22">
        <f t="shared" ref="E12:E18" si="0">D12*$L$7</f>
        <v>0.13012412122755901</v>
      </c>
      <c r="F12" s="31">
        <v>30</v>
      </c>
      <c r="G12" s="31">
        <v>10.14</v>
      </c>
      <c r="H12" s="145">
        <f>(G12*F12*10^(-3))/E12</f>
        <v>2.3377679490186134</v>
      </c>
      <c r="I12" s="335"/>
      <c r="J12" s="267"/>
      <c r="K12" s="267"/>
    </row>
    <row r="13" spans="2:12" x14ac:dyDescent="0.3">
      <c r="B13" s="288" t="s">
        <v>133</v>
      </c>
      <c r="C13" s="29" t="s">
        <v>61</v>
      </c>
      <c r="D13" s="20">
        <v>0.66120000000000001</v>
      </c>
      <c r="E13" s="20">
        <f t="shared" si="0"/>
        <v>0.13093603554354286</v>
      </c>
      <c r="F13" s="11">
        <v>30</v>
      </c>
      <c r="G13" s="11">
        <v>12.28</v>
      </c>
      <c r="H13" s="33">
        <f t="shared" ref="H13:H18" si="1">(G13*F13*10^(-3))/E13</f>
        <v>2.8135875541877726</v>
      </c>
      <c r="I13" s="264">
        <f>AVERAGE(H13:H14)</f>
        <v>2.822365296519358</v>
      </c>
      <c r="J13" s="259">
        <f>_xlfn.STDEV.S(H13:H14)/AVERAGE(H13:H14)*100</f>
        <v>0.43982975087079074</v>
      </c>
      <c r="K13" s="259" t="e">
        <f>I13/#REF!*100</f>
        <v>#REF!</v>
      </c>
    </row>
    <row r="14" spans="2:12" ht="15" thickBot="1" x14ac:dyDescent="0.35">
      <c r="B14" s="289"/>
      <c r="C14" s="30" t="s">
        <v>62</v>
      </c>
      <c r="D14" s="22">
        <v>0.65710000000000002</v>
      </c>
      <c r="E14" s="22">
        <f t="shared" si="0"/>
        <v>0.13012412122755901</v>
      </c>
      <c r="F14" s="31">
        <v>30</v>
      </c>
      <c r="G14" s="31">
        <v>12.28</v>
      </c>
      <c r="H14" s="40">
        <f t="shared" si="1"/>
        <v>2.8311430388509438</v>
      </c>
      <c r="I14" s="265"/>
      <c r="J14" s="267"/>
      <c r="K14" s="267"/>
    </row>
    <row r="15" spans="2:12" x14ac:dyDescent="0.3">
      <c r="B15" s="291" t="s">
        <v>144</v>
      </c>
      <c r="C15" s="29" t="s">
        <v>61</v>
      </c>
      <c r="D15" s="20">
        <v>0.66120000000000001</v>
      </c>
      <c r="E15" s="20">
        <f t="shared" si="0"/>
        <v>0.13093603554354286</v>
      </c>
      <c r="F15" s="11">
        <v>30</v>
      </c>
      <c r="G15" s="11">
        <v>1.2</v>
      </c>
      <c r="H15" s="35">
        <f t="shared" si="1"/>
        <v>0.27494340920401689</v>
      </c>
      <c r="I15" s="271">
        <f>AVERAGE(H15:H16)</f>
        <v>0.27925940565195395</v>
      </c>
      <c r="J15" s="259">
        <f>_xlfn.STDEV.S(H15:H16)/AVERAGE(H15:H16)*100</f>
        <v>2.1856884990415915</v>
      </c>
      <c r="K15" s="259" t="e">
        <f>I15/#REF!*100</f>
        <v>#REF!</v>
      </c>
    </row>
    <row r="16" spans="2:12" ht="15" thickBot="1" x14ac:dyDescent="0.35">
      <c r="B16" s="292"/>
      <c r="C16" s="30" t="s">
        <v>62</v>
      </c>
      <c r="D16" s="22">
        <v>0.65710000000000002</v>
      </c>
      <c r="E16" s="22">
        <f t="shared" si="0"/>
        <v>0.13012412122755901</v>
      </c>
      <c r="F16" s="31">
        <v>30</v>
      </c>
      <c r="G16" s="31">
        <v>1.23</v>
      </c>
      <c r="H16" s="42">
        <f t="shared" si="1"/>
        <v>0.28357540209989096</v>
      </c>
      <c r="I16" s="272"/>
      <c r="J16" s="267"/>
      <c r="K16" s="267"/>
    </row>
    <row r="17" spans="2:13" ht="15" thickBot="1" x14ac:dyDescent="0.35">
      <c r="B17" s="294" t="s">
        <v>145</v>
      </c>
      <c r="C17" s="171" t="s">
        <v>61</v>
      </c>
      <c r="D17" s="20">
        <v>0.66120000000000001</v>
      </c>
      <c r="E17" s="20">
        <f t="shared" si="0"/>
        <v>0.13093603554354286</v>
      </c>
      <c r="F17" s="11">
        <v>30</v>
      </c>
      <c r="G17" s="11">
        <v>3.11</v>
      </c>
      <c r="H17" s="34">
        <f t="shared" si="1"/>
        <v>0.71256166885374361</v>
      </c>
      <c r="I17" s="329">
        <f>AVERAGE(H17:H18)</f>
        <v>0.75051980807793961</v>
      </c>
      <c r="J17" s="259">
        <f>_xlfn.STDEV.S(H17:H18)/AVERAGE(H17:H18)*100</f>
        <v>7.1524981373615626</v>
      </c>
      <c r="K17" s="259">
        <f>I17/I17*100</f>
        <v>100</v>
      </c>
    </row>
    <row r="18" spans="2:13" ht="15" thickBot="1" x14ac:dyDescent="0.35">
      <c r="B18" s="295"/>
      <c r="C18" s="172" t="s">
        <v>62</v>
      </c>
      <c r="D18" s="170">
        <v>0.65710000000000002</v>
      </c>
      <c r="E18" s="25">
        <f t="shared" si="0"/>
        <v>0.13012412122755901</v>
      </c>
      <c r="F18" s="27">
        <v>30</v>
      </c>
      <c r="G18" s="27">
        <v>3.42</v>
      </c>
      <c r="H18" s="141">
        <f t="shared" si="1"/>
        <v>0.78847794730213572</v>
      </c>
      <c r="I18" s="330"/>
      <c r="J18" s="260"/>
      <c r="K18" s="260"/>
    </row>
    <row r="19" spans="2:13" ht="14.4" customHeight="1" x14ac:dyDescent="0.3">
      <c r="B19" s="308" t="s">
        <v>146</v>
      </c>
      <c r="C19" s="29" t="s">
        <v>61</v>
      </c>
      <c r="D19" s="1"/>
      <c r="E19" s="1">
        <v>3.4099999999999998E-2</v>
      </c>
      <c r="F19" s="20">
        <v>20.6585</v>
      </c>
      <c r="G19" s="1">
        <v>1.79</v>
      </c>
      <c r="H19" s="32">
        <f>(G19*F19*10^(-3))/E19</f>
        <v>1.0844197947214078</v>
      </c>
      <c r="I19" s="280">
        <f>AVERAGE(H19:H20)</f>
        <v>1.024631647360704</v>
      </c>
      <c r="J19" s="259">
        <f>_xlfn.STDEV.S(H19:H20)/AVERAGE(H19:H20)*100</f>
        <v>8.2520590774708982</v>
      </c>
      <c r="K19" s="259">
        <f>I19/I19*100</f>
        <v>100</v>
      </c>
    </row>
    <row r="20" spans="2:13" ht="15" customHeight="1" thickBot="1" x14ac:dyDescent="0.35">
      <c r="B20" s="310"/>
      <c r="C20" s="30" t="s">
        <v>62</v>
      </c>
      <c r="D20" s="22"/>
      <c r="E20" s="22">
        <v>1.6E-2</v>
      </c>
      <c r="F20" s="3">
        <v>22.702200000000001</v>
      </c>
      <c r="G20" s="3">
        <v>0.68</v>
      </c>
      <c r="H20" s="38">
        <f>(G20*F20*10^(-3))/E20</f>
        <v>0.96484350000000008</v>
      </c>
      <c r="I20" s="282"/>
      <c r="J20" s="260"/>
      <c r="K20" s="260"/>
      <c r="L20" s="157">
        <f>SUM(I11,I13,I15,I17,I19)</f>
        <v>7.2588479252319873</v>
      </c>
      <c r="M20" s="174">
        <f>ABS(I21-L20)/I21</f>
        <v>0.26302807417746205</v>
      </c>
    </row>
    <row r="21" spans="2:13" x14ac:dyDescent="0.3">
      <c r="B21" s="325" t="s">
        <v>147</v>
      </c>
      <c r="C21" s="29" t="s">
        <v>61</v>
      </c>
      <c r="D21" s="1"/>
      <c r="E21" s="1">
        <v>7.8299999999999995E-2</v>
      </c>
      <c r="F21" s="20">
        <v>30.015000000000001</v>
      </c>
      <c r="G21" s="11">
        <v>25.203817367553711</v>
      </c>
      <c r="H21" s="155">
        <f t="shared" ref="H21:H22" si="2">(G21*F21*10^(-3))/E21</f>
        <v>9.6614633242289241</v>
      </c>
      <c r="I21" s="327">
        <f>AVERAGE(H21:H22)</f>
        <v>9.8495582679494227</v>
      </c>
      <c r="J21" s="259">
        <f>_xlfn.STDEV.S(H21:H22)/AVERAGE(H21:H22)*100</f>
        <v>2.70069391120738</v>
      </c>
      <c r="K21" s="259">
        <f>I21/I21*100</f>
        <v>100</v>
      </c>
    </row>
    <row r="22" spans="2:13" ht="15" thickBot="1" x14ac:dyDescent="0.35">
      <c r="B22" s="326"/>
      <c r="C22" s="30" t="s">
        <v>62</v>
      </c>
      <c r="D22" s="3"/>
      <c r="E22" s="22">
        <v>0.05</v>
      </c>
      <c r="F22" s="3">
        <v>30.406400000000001</v>
      </c>
      <c r="G22" s="31">
        <v>16.505823135375977</v>
      </c>
      <c r="H22" s="156">
        <f t="shared" si="2"/>
        <v>10.037653211669921</v>
      </c>
      <c r="I22" s="328"/>
      <c r="J22" s="260"/>
      <c r="K22" s="260"/>
    </row>
    <row r="23" spans="2:13" ht="15" thickBot="1" x14ac:dyDescent="0.35"/>
    <row r="24" spans="2:13" ht="16.2" thickBot="1" x14ac:dyDescent="0.35">
      <c r="B24" s="4" t="s">
        <v>46</v>
      </c>
    </row>
    <row r="25" spans="2:13" ht="15" thickBot="1" x14ac:dyDescent="0.35">
      <c r="B25" s="209" t="s">
        <v>72</v>
      </c>
      <c r="C25" s="47" t="s">
        <v>73</v>
      </c>
      <c r="D25" s="47" t="s">
        <v>74</v>
      </c>
      <c r="E25" s="47" t="s">
        <v>75</v>
      </c>
      <c r="F25" s="47" t="s">
        <v>76</v>
      </c>
      <c r="G25" s="47" t="s">
        <v>87</v>
      </c>
      <c r="H25" s="47" t="s">
        <v>88</v>
      </c>
      <c r="I25" s="46" t="s">
        <v>142</v>
      </c>
      <c r="J25" s="47" t="s">
        <v>80</v>
      </c>
      <c r="K25" s="47" t="s">
        <v>81</v>
      </c>
    </row>
    <row r="26" spans="2:13" ht="15" thickBot="1" x14ac:dyDescent="0.35">
      <c r="B26" s="321" t="s">
        <v>143</v>
      </c>
      <c r="C26" s="29" t="s">
        <v>61</v>
      </c>
      <c r="D26" s="20">
        <v>0.66120000000000001</v>
      </c>
      <c r="E26" s="20">
        <f>D26*$L$7</f>
        <v>0.13093603554354286</v>
      </c>
      <c r="F26" s="11">
        <v>30</v>
      </c>
      <c r="G26" s="11">
        <v>17.059999999999999</v>
      </c>
      <c r="H26" s="95">
        <f>(G26*F26*10^(-3))/E26</f>
        <v>3.9087788008504392</v>
      </c>
      <c r="I26" s="323">
        <f>AVERAGE(H26:H27)</f>
        <v>3.8783217016639107</v>
      </c>
      <c r="J26" s="259">
        <f>_xlfn.STDEV.S(H26:H27)/AVERAGE(H26:H27)*100</f>
        <v>1.1106052064131682</v>
      </c>
      <c r="K26" s="259" t="e">
        <f>I26/#REF!*100</f>
        <v>#REF!</v>
      </c>
    </row>
    <row r="27" spans="2:13" ht="15" thickBot="1" x14ac:dyDescent="0.35">
      <c r="B27" s="322"/>
      <c r="C27" s="36" t="s">
        <v>62</v>
      </c>
      <c r="D27" s="21">
        <v>0.65710000000000002</v>
      </c>
      <c r="E27" s="22">
        <f t="shared" ref="E27:E33" si="3">D27*$L$7</f>
        <v>0.13012412122755901</v>
      </c>
      <c r="F27" s="26">
        <v>30</v>
      </c>
      <c r="G27" s="31">
        <v>16.690000000000001</v>
      </c>
      <c r="H27" s="95">
        <f t="shared" ref="H27" si="4">(G27*F27*10^(-3))/E27</f>
        <v>3.8478646024773822</v>
      </c>
      <c r="I27" s="324"/>
      <c r="J27" s="267"/>
      <c r="K27" s="267"/>
    </row>
    <row r="28" spans="2:13" x14ac:dyDescent="0.3">
      <c r="B28" s="288" t="s">
        <v>133</v>
      </c>
      <c r="C28" s="29" t="s">
        <v>61</v>
      </c>
      <c r="D28" s="20">
        <v>0.66120000000000001</v>
      </c>
      <c r="E28" s="20">
        <f t="shared" si="3"/>
        <v>0.13093603554354286</v>
      </c>
      <c r="F28" s="11">
        <v>30</v>
      </c>
      <c r="G28" s="11">
        <v>5.17</v>
      </c>
      <c r="H28" s="33">
        <f>(G28*F28*10^(-3))/E28</f>
        <v>1.1845478546539725</v>
      </c>
      <c r="I28" s="311">
        <f>AVERAGE(H28:H29)</f>
        <v>1.1824796422665966</v>
      </c>
      <c r="J28" s="259">
        <f>_xlfn.STDEV.S(H28:H29)/AVERAGE(H28:H29)*100</f>
        <v>0.24735258887742911</v>
      </c>
      <c r="K28" s="259" t="e">
        <f>I28/#REF!*100</f>
        <v>#REF!</v>
      </c>
    </row>
    <row r="29" spans="2:13" ht="15" thickBot="1" x14ac:dyDescent="0.35">
      <c r="B29" s="289"/>
      <c r="C29" s="36" t="s">
        <v>62</v>
      </c>
      <c r="D29" s="21">
        <v>0.65710000000000002</v>
      </c>
      <c r="E29" s="22">
        <f t="shared" si="3"/>
        <v>0.13012412122755901</v>
      </c>
      <c r="F29" s="26">
        <v>30</v>
      </c>
      <c r="G29" s="26">
        <v>5.12</v>
      </c>
      <c r="H29" s="39">
        <f t="shared" ref="H29:H33" si="5">(G29*F29*10^(-3))/E29</f>
        <v>1.1804114298792208</v>
      </c>
      <c r="I29" s="312"/>
      <c r="J29" s="267"/>
      <c r="K29" s="267"/>
    </row>
    <row r="30" spans="2:13" x14ac:dyDescent="0.3">
      <c r="B30" s="291" t="s">
        <v>144</v>
      </c>
      <c r="C30" s="29" t="s">
        <v>61</v>
      </c>
      <c r="D30" s="20">
        <v>0.66120000000000001</v>
      </c>
      <c r="E30" s="20">
        <f t="shared" si="3"/>
        <v>0.13093603554354286</v>
      </c>
      <c r="F30" s="11">
        <v>30</v>
      </c>
      <c r="G30" s="11">
        <v>0.84</v>
      </c>
      <c r="H30" s="35">
        <f t="shared" si="5"/>
        <v>0.1924603864428118</v>
      </c>
      <c r="I30" s="313">
        <f>AVERAGE(H30:H31)</f>
        <v>0.19190807279169431</v>
      </c>
      <c r="J30" s="259">
        <f>_xlfn.STDEV.S(H30:H31)/AVERAGE(H30:H31)*100</f>
        <v>0.40701229746702161</v>
      </c>
      <c r="K30" s="259" t="e">
        <f>I30/#REF!*100</f>
        <v>#REF!</v>
      </c>
    </row>
    <row r="31" spans="2:13" ht="15" thickBot="1" x14ac:dyDescent="0.35">
      <c r="B31" s="292"/>
      <c r="C31" s="36" t="s">
        <v>62</v>
      </c>
      <c r="D31" s="21">
        <v>0.65710000000000002</v>
      </c>
      <c r="E31" s="22">
        <f t="shared" si="3"/>
        <v>0.13012412122755901</v>
      </c>
      <c r="F31" s="26">
        <v>30</v>
      </c>
      <c r="G31" s="26">
        <v>0.83</v>
      </c>
      <c r="H31" s="41">
        <f t="shared" si="5"/>
        <v>0.19135575914057681</v>
      </c>
      <c r="I31" s="314"/>
      <c r="J31" s="267"/>
      <c r="K31" s="267"/>
    </row>
    <row r="32" spans="2:13" x14ac:dyDescent="0.3">
      <c r="B32" s="294" t="s">
        <v>145</v>
      </c>
      <c r="C32" s="29" t="s">
        <v>61</v>
      </c>
      <c r="D32" s="20">
        <v>0.66120000000000001</v>
      </c>
      <c r="E32" s="20">
        <f t="shared" si="3"/>
        <v>0.13093603554354286</v>
      </c>
      <c r="F32" s="11">
        <v>30</v>
      </c>
      <c r="G32" s="11">
        <v>0.28999999999999998</v>
      </c>
      <c r="H32" s="34">
        <f t="shared" si="5"/>
        <v>6.6444657224304066E-2</v>
      </c>
      <c r="I32" s="257">
        <f>AVERAGE(H32:H33)</f>
        <v>7.1262931332869123E-2</v>
      </c>
      <c r="J32" s="259">
        <f>_xlfn.STDEV.S(H32:H33)/AVERAGE(H32:H33)*100</f>
        <v>9.5618696342076035</v>
      </c>
      <c r="K32" s="259">
        <f>I32/I32*100</f>
        <v>100</v>
      </c>
    </row>
    <row r="33" spans="2:13" ht="15" thickBot="1" x14ac:dyDescent="0.35">
      <c r="B33" s="295"/>
      <c r="C33" s="50" t="s">
        <v>62</v>
      </c>
      <c r="D33" s="25">
        <v>0.65710000000000002</v>
      </c>
      <c r="E33" s="25">
        <f t="shared" si="3"/>
        <v>0.13012412122755901</v>
      </c>
      <c r="F33" s="27">
        <v>30</v>
      </c>
      <c r="G33" s="27">
        <v>0.33</v>
      </c>
      <c r="H33" s="141">
        <f t="shared" si="5"/>
        <v>7.6081205441434166E-2</v>
      </c>
      <c r="I33" s="258"/>
      <c r="J33" s="260"/>
      <c r="K33" s="260"/>
    </row>
    <row r="34" spans="2:13" ht="14.4" customHeight="1" x14ac:dyDescent="0.3">
      <c r="B34" s="308" t="s">
        <v>146</v>
      </c>
      <c r="C34" s="29" t="s">
        <v>61</v>
      </c>
      <c r="D34" s="146"/>
      <c r="E34" s="1">
        <f>E19</f>
        <v>3.4099999999999998E-2</v>
      </c>
      <c r="F34" s="20">
        <f>F19</f>
        <v>20.6585</v>
      </c>
      <c r="G34" s="11">
        <v>0.08</v>
      </c>
      <c r="H34" s="32">
        <f>(G34*F34*10^(-3))/E34</f>
        <v>4.8465689149560121E-2</v>
      </c>
      <c r="I34" s="280">
        <f>AVERAGE(H34:H35)</f>
        <v>4.5516157074780059E-2</v>
      </c>
      <c r="J34" s="259">
        <f>_xlfn.STDEV.S(H34:H35)/AVERAGE(H34:H35)*100</f>
        <v>9.1643682834543636</v>
      </c>
      <c r="K34" s="259">
        <f>I34/I34*100</f>
        <v>100</v>
      </c>
    </row>
    <row r="35" spans="2:13" ht="15" customHeight="1" thickBot="1" x14ac:dyDescent="0.35">
      <c r="B35" s="310"/>
      <c r="C35" s="50" t="s">
        <v>62</v>
      </c>
      <c r="D35" s="169"/>
      <c r="E35" s="25">
        <f>E20</f>
        <v>1.6E-2</v>
      </c>
      <c r="F35" s="159">
        <f>F20</f>
        <v>22.702200000000001</v>
      </c>
      <c r="G35" s="27">
        <v>0.03</v>
      </c>
      <c r="H35" s="160">
        <f t="shared" ref="H35:H37" si="6">(G35*F35*10^(-3))/E35</f>
        <v>4.2566625000000004E-2</v>
      </c>
      <c r="I35" s="282"/>
      <c r="J35" s="260"/>
      <c r="K35" s="260"/>
      <c r="L35" s="157">
        <f>SUM(I26,I28,I30,I32,I34)</f>
        <v>5.3694885051298504</v>
      </c>
      <c r="M35" s="174">
        <f>ABS(I36-L35)/I36</f>
        <v>0.48273233324936571</v>
      </c>
    </row>
    <row r="36" spans="2:13" x14ac:dyDescent="0.3">
      <c r="B36" s="317" t="s">
        <v>147</v>
      </c>
      <c r="C36" s="29" t="s">
        <v>61</v>
      </c>
      <c r="D36" s="1"/>
      <c r="E36" s="163">
        <v>7.8299999999999995E-2</v>
      </c>
      <c r="F36" s="163">
        <v>30.015000000000001</v>
      </c>
      <c r="G36" s="167">
        <v>26.594161987304599</v>
      </c>
      <c r="H36" s="161">
        <f>(G36*F36*10^(-3))/E36</f>
        <v>10.194428761800097</v>
      </c>
      <c r="I36" s="319">
        <f>AVERAGE(H36:H37)</f>
        <v>10.380483548990869</v>
      </c>
      <c r="J36" s="259">
        <f>_xlfn.STDEV.S(H36:H37)/AVERAGE(H36:H37)*100</f>
        <v>2.5347682711294155</v>
      </c>
      <c r="K36" s="259">
        <f>I36/I36*100</f>
        <v>100</v>
      </c>
    </row>
    <row r="37" spans="2:13" ht="15" thickBot="1" x14ac:dyDescent="0.35">
      <c r="B37" s="318"/>
      <c r="C37" s="30" t="s">
        <v>62</v>
      </c>
      <c r="D37" s="3"/>
      <c r="E37" s="166">
        <v>0.05</v>
      </c>
      <c r="F37" s="164">
        <v>30.406400000000001</v>
      </c>
      <c r="G37" s="168">
        <v>17.375516891479492</v>
      </c>
      <c r="H37" s="162">
        <f t="shared" si="6"/>
        <v>10.56653833618164</v>
      </c>
      <c r="I37" s="320"/>
      <c r="J37" s="260"/>
      <c r="K37" s="260"/>
    </row>
  </sheetData>
  <mergeCells count="49">
    <mergeCell ref="B13:B14"/>
    <mergeCell ref="I13:I14"/>
    <mergeCell ref="J13:J14"/>
    <mergeCell ref="K13:K14"/>
    <mergeCell ref="D1:G1"/>
    <mergeCell ref="B11:B12"/>
    <mergeCell ref="I11:I12"/>
    <mergeCell ref="J11:J12"/>
    <mergeCell ref="K11:K12"/>
    <mergeCell ref="B15:B16"/>
    <mergeCell ref="I15:I16"/>
    <mergeCell ref="J15:J16"/>
    <mergeCell ref="K15:K16"/>
    <mergeCell ref="B17:B18"/>
    <mergeCell ref="I17:I18"/>
    <mergeCell ref="J17:J18"/>
    <mergeCell ref="K17:K18"/>
    <mergeCell ref="B19:B20"/>
    <mergeCell ref="I19:I20"/>
    <mergeCell ref="J19:J20"/>
    <mergeCell ref="K19:K20"/>
    <mergeCell ref="B26:B27"/>
    <mergeCell ref="I26:I27"/>
    <mergeCell ref="J26:J27"/>
    <mergeCell ref="K26:K27"/>
    <mergeCell ref="B21:B22"/>
    <mergeCell ref="I21:I22"/>
    <mergeCell ref="J21:J22"/>
    <mergeCell ref="K21:K22"/>
    <mergeCell ref="B28:B29"/>
    <mergeCell ref="I28:I29"/>
    <mergeCell ref="J28:J29"/>
    <mergeCell ref="K28:K29"/>
    <mergeCell ref="B30:B31"/>
    <mergeCell ref="I30:I31"/>
    <mergeCell ref="J30:J31"/>
    <mergeCell ref="K30:K31"/>
    <mergeCell ref="B36:B37"/>
    <mergeCell ref="I36:I37"/>
    <mergeCell ref="J36:J37"/>
    <mergeCell ref="K36:K37"/>
    <mergeCell ref="B32:B33"/>
    <mergeCell ref="I32:I33"/>
    <mergeCell ref="J32:J33"/>
    <mergeCell ref="K32:K33"/>
    <mergeCell ref="B34:B35"/>
    <mergeCell ref="I34:I35"/>
    <mergeCell ref="J34:J35"/>
    <mergeCell ref="K34:K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CAAF4FD838F34686761C6288D049E8" ma:contentTypeVersion="14" ma:contentTypeDescription="Crear nuevo documento." ma:contentTypeScope="" ma:versionID="8bbf0a37cc274e0330ea7ea48b17d253">
  <xsd:schema xmlns:xsd="http://www.w3.org/2001/XMLSchema" xmlns:xs="http://www.w3.org/2001/XMLSchema" xmlns:p="http://schemas.microsoft.com/office/2006/metadata/properties" xmlns:ns3="2d0d7b52-8a17-46d0-b328-fc0433e8e2fc" xmlns:ns4="6eec174a-f80c-41f8-8d1c-276dda079a38" targetNamespace="http://schemas.microsoft.com/office/2006/metadata/properties" ma:root="true" ma:fieldsID="d3587705d91cb4659a5a4fce26c40b2d" ns3:_="" ns4:_="">
    <xsd:import namespace="2d0d7b52-8a17-46d0-b328-fc0433e8e2fc"/>
    <xsd:import namespace="6eec174a-f80c-41f8-8d1c-276dda079a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d7b52-8a17-46d0-b328-fc0433e8e2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c174a-f80c-41f8-8d1c-276dda079a3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A5AC9A-18C1-4D0C-8592-D7B20051C3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2D59A-00BF-4283-AF88-118AFC611560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6eec174a-f80c-41f8-8d1c-276dda079a38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2d0d7b52-8a17-46d0-b328-fc0433e8e2f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F407523-5EE2-4B5F-8615-A20F7DEC9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d7b52-8a17-46d0-b328-fc0433e8e2fc"/>
    <ds:schemaRef ds:uri="6eec174a-f80c-41f8-8d1c-276dda079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Agua sintética residual</vt:lpstr>
      <vt:lpstr>Biosorción Cu y Zn</vt:lpstr>
      <vt:lpstr>Crecimiento biomasa</vt:lpstr>
      <vt:lpstr>Secos biomasa partida</vt:lpstr>
      <vt:lpstr>Pruebas extrac. simples dif vol</vt:lpstr>
      <vt:lpstr>Extracciones simples. Microalga</vt:lpstr>
      <vt:lpstr>Extracciones simples. Fango</vt:lpstr>
      <vt:lpstr>Extracciones simples. Fango Al</vt:lpstr>
      <vt:lpstr>Extracción secuencial MA</vt:lpstr>
      <vt:lpstr>Extracción secuencial MA REP</vt:lpstr>
      <vt:lpstr>Extracción secuencial Fango</vt:lpstr>
      <vt:lpstr>Gráficos secuenciales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 Antolín Puebla</dc:creator>
  <cp:keywords/>
  <dc:description/>
  <cp:lastModifiedBy>Beatriz Antolín Puebla</cp:lastModifiedBy>
  <cp:revision/>
  <dcterms:created xsi:type="dcterms:W3CDTF">2021-02-14T12:24:33Z</dcterms:created>
  <dcterms:modified xsi:type="dcterms:W3CDTF">2023-06-13T17:06:06Z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0x0101006CCAAF4FD838F34686761C6288D049E8</vt:lpwstr>
  </property>
</Properties>
</file>